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drawings/drawing2.xml" ContentType="application/vnd.openxmlformats-officedocument.drawing+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drawings/drawing3.xml" ContentType="application/vnd.openxmlformats-officedocument.drawing+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drawings/drawing4.xml" ContentType="application/vnd.openxmlformats-officedocument.drawing+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drawings/drawing5.xml" ContentType="application/vnd.openxmlformats-officedocument.drawing+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drawings/drawing6.xml" ContentType="application/vnd.openxmlformats-officedocument.drawing+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drawings/drawing7.xml" ContentType="application/vnd.openxmlformats-officedocument.drawing+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drawings/drawing8.xml" ContentType="application/vnd.openxmlformats-officedocument.drawing+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drawings/drawing9.xml" ContentType="application/vnd.openxmlformats-officedocument.drawing+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drawings/drawing10.xml" ContentType="application/vnd.openxmlformats-officedocument.drawing+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drawings/drawing11.xml" ContentType="application/vnd.openxmlformats-officedocument.drawing+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drawings/drawing12.xml" ContentType="application/vnd.openxmlformats-officedocument.drawing+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drawings/drawing13.xml" ContentType="application/vnd.openxmlformats-officedocument.drawing+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drawings/drawing14.xml" ContentType="application/vnd.openxmlformats-officedocument.drawing+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9192" tabRatio="627" activeTab="1"/>
  </bookViews>
  <sheets>
    <sheet name="Հ1" sheetId="27" r:id="rId1"/>
    <sheet name="Հ2 Ձև1-IUCN" sheetId="51" r:id="rId2"/>
    <sheet name="Հ2 Ձև2-IUCN" sheetId="55" r:id="rId3"/>
    <sheet name="Հ2 Ձև1-geter" sheetId="54" r:id="rId4"/>
    <sheet name="Հ2 Ձև2-geter" sheetId="53" r:id="rId5"/>
    <sheet name="Հ2 Ձև1-anznagrer " sheetId="26" r:id="rId6"/>
    <sheet name="Հ2 Ձև2-anznagrer" sheetId="52" r:id="rId7"/>
    <sheet name="Հ2 Ձև1-hoxer-monitoring" sheetId="34" r:id="rId8"/>
    <sheet name="Հ2 Ձև2-hoxer-monitoring" sheetId="56" r:id="rId9"/>
    <sheet name="Հ2 Ձև1-laborator-zargacum" sheetId="35" r:id="rId10"/>
    <sheet name="Հ2 Ձև2-laborator-zargacum" sheetId="36" r:id="rId11"/>
    <sheet name="Հ2 Ձև1-zuyn-zyunahuys" sheetId="37" r:id="rId12"/>
    <sheet name="Հ2 Ձև2-zuyn-zyunahuys" sheetId="38" r:id="rId13"/>
    <sheet name="zuyn-zyunahuys-hashvarkner" sheetId="57" r:id="rId14"/>
    <sheet name="Հ2 Ձև1-makerevutayin-jrer" sheetId="39" r:id="rId15"/>
    <sheet name="Հ2 Ձև2-makerevutayin-jrer" sheetId="40" r:id="rId16"/>
    <sheet name="makerevutayin-jrer-hashvark" sheetId="58" r:id="rId17"/>
    <sheet name="Հ2 Ձև1-jarmocayin-gazer" sheetId="41" r:id="rId18"/>
    <sheet name="Հ2 Ձև2-jarmocayin-gazer" sheetId="42" r:id="rId19"/>
    <sheet name="Հ2 Ձև1-sndik-monitoring" sheetId="43" r:id="rId20"/>
    <sheet name="Հ2 Ձև2-sndik-monitoring" sheetId="46" r:id="rId21"/>
    <sheet name="Հ2 Ձև1-storerkrya-jrer" sheetId="45" r:id="rId22"/>
    <sheet name="Հ2 Ձև2-storerkrya-jrer" sheetId="44" r:id="rId23"/>
    <sheet name="Հ2 Ձև1-vaxoroq" sheetId="47" r:id="rId24"/>
    <sheet name="Հ2 Ձև2-vaxoroq" sheetId="48" r:id="rId25"/>
    <sheet name="Հ2 Ձև1-odi-monitoring" sheetId="49" r:id="rId26"/>
    <sheet name="Հ2 Ձև2-odi-monitoring" sheetId="50" r:id="rId27"/>
    <sheet name="Հ3 Մաս 1" sheetId="1" r:id="rId28"/>
    <sheet name="Հ3 Մաս 2" sheetId="3" r:id="rId29"/>
    <sheet name="Հ3 Մաս 3" sheetId="5" r:id="rId30"/>
    <sheet name="Հ4  " sheetId="22" r:id="rId31"/>
    <sheet name="Հ5" sheetId="8" r:id="rId32"/>
    <sheet name="Հ6" sheetId="7" r:id="rId33"/>
    <sheet name="Հ7 Ձև1-11009" sheetId="9" r:id="rId34"/>
    <sheet name="Հ7 Ձև1-11010" sheetId="32" r:id="rId35"/>
    <sheet name="Հ7 Ձև1-12002" sheetId="33" r:id="rId36"/>
    <sheet name="Հ7 Ձև2" sheetId="19" r:id="rId37"/>
    <sheet name="Հ7 Ձև3" sheetId="20" r:id="rId38"/>
    <sheet name="Հ8" sheetId="10" r:id="rId39"/>
    <sheet name="Հ9" sheetId="12" r:id="rId40"/>
    <sheet name="Հ10" sheetId="16" r:id="rId41"/>
    <sheet name="Հ11" sheetId="25" r:id="rId42"/>
    <sheet name="Լրացման պահանջներ" sheetId="14" r:id="rId43"/>
  </sheets>
  <externalReferences>
    <externalReference r:id="rId44"/>
    <externalReference r:id="rId45"/>
  </externalReferences>
  <definedNames>
    <definedName name="_xlnm._FilterDatabase" localSheetId="41" hidden="1">Հ11!$B$5:$T$6</definedName>
    <definedName name="_ftn1" localSheetId="27">'Հ3 Մաս 1'!#REF!</definedName>
    <definedName name="_ftn10" localSheetId="27">'Հ3 Մաս 1'!#REF!</definedName>
    <definedName name="_ftn11" localSheetId="27">'Հ3 Մաս 1'!#REF!</definedName>
    <definedName name="_ftn12" localSheetId="27">'Հ3 Մաս 1'!#REF!</definedName>
    <definedName name="_ftn13" localSheetId="27">'Հ3 Մաս 1'!#REF!</definedName>
    <definedName name="_ftn14" localSheetId="27">'Հ3 Մաս 1'!#REF!</definedName>
    <definedName name="_ftn15" localSheetId="27">'Հ3 Մաս 1'!#REF!</definedName>
    <definedName name="_ftn16" localSheetId="27">'Հ3 Մաս 1'!#REF!</definedName>
    <definedName name="_ftn17" localSheetId="27">'Հ3 Մաս 1'!#REF!</definedName>
    <definedName name="_ftn18" localSheetId="27">'Հ3 Մաս 1'!#REF!</definedName>
    <definedName name="_ftn19" localSheetId="27">'Հ3 Մաս 1'!#REF!</definedName>
    <definedName name="_ftn2" localSheetId="27">'Հ3 Մաս 1'!#REF!</definedName>
    <definedName name="_ftn20" localSheetId="27">'Հ3 Մաս 1'!#REF!</definedName>
    <definedName name="_ftn3" localSheetId="27">'Հ3 Մաս 1'!#REF!</definedName>
    <definedName name="_ftn4" localSheetId="27">'Հ3 Մաս 1'!#REF!</definedName>
    <definedName name="_ftn5" localSheetId="27">'Հ3 Մաս 1'!#REF!</definedName>
    <definedName name="_ftn6" localSheetId="27">'Հ3 Մաս 1'!#REF!</definedName>
    <definedName name="_ftn7" localSheetId="27">'Հ3 Մաս 1'!#REF!</definedName>
    <definedName name="_ftn8" localSheetId="27">'Հ3 Մաս 1'!#REF!</definedName>
    <definedName name="_ftn9" localSheetId="27">'Հ3 Մաս 1'!#REF!</definedName>
    <definedName name="_ftnref1" localSheetId="27">'Հ3 Մաս 1'!#REF!</definedName>
    <definedName name="_ftnref10" localSheetId="27">'Հ3 Մաս 1'!#REF!</definedName>
    <definedName name="_ftnref11" localSheetId="27">'Հ3 Մաս 1'!#REF!</definedName>
    <definedName name="_ftnref12" localSheetId="27">'Հ3 Մաս 1'!#REF!</definedName>
    <definedName name="_ftnref13" localSheetId="27">'Հ3 Մաս 1'!#REF!</definedName>
    <definedName name="_ftnref14" localSheetId="27">'Հ3 Մաս 1'!#REF!</definedName>
    <definedName name="_ftnref15" localSheetId="27">'Հ3 Մաս 1'!#REF!</definedName>
    <definedName name="_ftnref16" localSheetId="27">'Հ3 Մաս 1'!#REF!</definedName>
    <definedName name="_ftnref17" localSheetId="27">'Հ3 Մաս 1'!$H$67</definedName>
    <definedName name="_ftnref18" localSheetId="27">'Հ3 Մաս 1'!#REF!</definedName>
    <definedName name="_ftnref19" localSheetId="27">'Հ3 Մաս 1'!#REF!</definedName>
    <definedName name="_ftnref2" localSheetId="27">#REF!</definedName>
    <definedName name="_ftnref20" localSheetId="27">'Հ3 Մաս 1'!#REF!</definedName>
    <definedName name="_ftnref3" localSheetId="27">'Հ3 Մաս 1'!#REF!</definedName>
    <definedName name="_ftnref4" localSheetId="27">'Հ3 Մաս 1'!$C$3</definedName>
    <definedName name="_ftnref5" localSheetId="27">'Հ3 Մաս 1'!#REF!</definedName>
    <definedName name="_ftnref6" localSheetId="27">'Հ3 Մաս 1'!#REF!</definedName>
    <definedName name="_ftnref7" localSheetId="27">'Հ3 Մաս 1'!#REF!</definedName>
    <definedName name="_ftnref8" localSheetId="27">'Հ3 Մաս 1'!#REF!</definedName>
    <definedName name="_ftnref9" localSheetId="27">'Հ3 Մաս 1'!#REF!</definedName>
    <definedName name="_Toc501014755" localSheetId="27">'Հ3 Մաս 1'!#REF!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8" i="22" l="1"/>
  <c r="F11" i="10" l="1"/>
  <c r="E11" i="10"/>
  <c r="D11" i="10"/>
  <c r="G9" i="1"/>
  <c r="G10" i="1"/>
  <c r="H10" i="1"/>
  <c r="I10" i="1"/>
  <c r="J10" i="1"/>
  <c r="K10" i="1"/>
  <c r="L10" i="1"/>
  <c r="M10" i="1"/>
  <c r="N10" i="1"/>
  <c r="O10" i="1"/>
  <c r="P10" i="1"/>
  <c r="Q10" i="1"/>
  <c r="R10" i="1"/>
  <c r="G8" i="1"/>
  <c r="G13" i="1" s="1"/>
  <c r="G12" i="1"/>
  <c r="G11" i="1"/>
  <c r="I5" i="22"/>
  <c r="K5" i="22"/>
  <c r="L5" i="22"/>
  <c r="H5" i="22"/>
  <c r="AB40" i="8"/>
  <c r="P40" i="8"/>
  <c r="D40" i="8"/>
  <c r="AB39" i="8"/>
  <c r="P39" i="8"/>
  <c r="D39" i="8"/>
  <c r="AB38" i="8" l="1"/>
  <c r="P38" i="8"/>
  <c r="D38" i="8"/>
  <c r="H9" i="1" l="1"/>
  <c r="I9" i="1"/>
  <c r="K9" i="1"/>
  <c r="L9" i="1"/>
  <c r="N9" i="1"/>
  <c r="O9" i="1"/>
  <c r="P9" i="1"/>
  <c r="Q9" i="1"/>
  <c r="R9" i="1"/>
  <c r="O47" i="1" l="1"/>
  <c r="N47" i="1"/>
  <c r="N48" i="1"/>
  <c r="M48" i="1"/>
  <c r="M47" i="1"/>
  <c r="G34" i="1"/>
  <c r="I301" i="22"/>
  <c r="J301" i="22"/>
  <c r="H301" i="22"/>
  <c r="G46" i="1"/>
  <c r="L417" i="22"/>
  <c r="K417" i="22"/>
  <c r="J417" i="22"/>
  <c r="I417" i="22"/>
  <c r="H417" i="22"/>
  <c r="L406" i="22"/>
  <c r="L405" i="22" s="1"/>
  <c r="L404" i="22" s="1"/>
  <c r="L403" i="22" s="1"/>
  <c r="L401" i="22" s="1"/>
  <c r="L399" i="22" s="1"/>
  <c r="K406" i="22"/>
  <c r="J406" i="22"/>
  <c r="I406" i="22"/>
  <c r="H406" i="22"/>
  <c r="H405" i="22" s="1"/>
  <c r="H404" i="22" s="1"/>
  <c r="H403" i="22" s="1"/>
  <c r="H401" i="22" s="1"/>
  <c r="H399" i="22" s="1"/>
  <c r="K405" i="22"/>
  <c r="K404" i="22" s="1"/>
  <c r="K403" i="22" s="1"/>
  <c r="K401" i="22" s="1"/>
  <c r="K399" i="22" s="1"/>
  <c r="J405" i="22"/>
  <c r="J404" i="22" s="1"/>
  <c r="J403" i="22" s="1"/>
  <c r="J401" i="22" s="1"/>
  <c r="J399" i="22" s="1"/>
  <c r="I405" i="22"/>
  <c r="I404" i="22" s="1"/>
  <c r="I403" i="22" s="1"/>
  <c r="I401" i="22" s="1"/>
  <c r="I399" i="22" s="1"/>
  <c r="O48" i="1" l="1"/>
  <c r="I12" i="1" l="1"/>
  <c r="AC41" i="8" l="1"/>
  <c r="H445" i="22"/>
  <c r="J445" i="22"/>
  <c r="I445" i="22"/>
  <c r="I448" i="22"/>
  <c r="I446" i="22"/>
  <c r="J448" i="22"/>
  <c r="J446" i="22"/>
  <c r="I441" i="22"/>
  <c r="I439" i="22"/>
  <c r="H446" i="22"/>
  <c r="H439" i="22"/>
  <c r="I24" i="1"/>
  <c r="P24" i="1"/>
  <c r="Q24" i="1"/>
  <c r="R24" i="1"/>
  <c r="I14" i="1" l="1"/>
  <c r="P14" i="1"/>
  <c r="Q14" i="1"/>
  <c r="R14" i="1"/>
  <c r="F134" i="22" l="1"/>
  <c r="H141" i="22"/>
  <c r="H140" i="22" s="1"/>
  <c r="H139" i="22" s="1"/>
  <c r="H138" i="22" s="1"/>
  <c r="H136" i="22" s="1"/>
  <c r="H134" i="22" s="1"/>
  <c r="I141" i="22"/>
  <c r="I140" i="22" s="1"/>
  <c r="I139" i="22" s="1"/>
  <c r="I138" i="22" s="1"/>
  <c r="I136" i="22" s="1"/>
  <c r="I134" i="22" s="1"/>
  <c r="J141" i="22"/>
  <c r="J140" i="22" s="1"/>
  <c r="J139" i="22" s="1"/>
  <c r="J138" i="22" s="1"/>
  <c r="J136" i="22" s="1"/>
  <c r="J134" i="22" s="1"/>
  <c r="K141" i="22"/>
  <c r="K140" i="22" s="1"/>
  <c r="K139" i="22" s="1"/>
  <c r="K138" i="22" s="1"/>
  <c r="K136" i="22" s="1"/>
  <c r="K134" i="22" s="1"/>
  <c r="L141" i="22"/>
  <c r="L140" i="22" s="1"/>
  <c r="L139" i="22" s="1"/>
  <c r="L138" i="22" s="1"/>
  <c r="L136" i="22" s="1"/>
  <c r="L134" i="22" s="1"/>
  <c r="J249" i="22"/>
  <c r="J245" i="22"/>
  <c r="J242" i="22"/>
  <c r="J237" i="22"/>
  <c r="J234" i="22"/>
  <c r="J229" i="22"/>
  <c r="J224" i="22"/>
  <c r="J228" i="22" l="1"/>
  <c r="H175" i="22"/>
  <c r="L12" i="1" l="1"/>
  <c r="O12" i="1"/>
  <c r="P12" i="1"/>
  <c r="I276" i="22" l="1"/>
  <c r="J276" i="22"/>
  <c r="K276" i="22"/>
  <c r="L276" i="22"/>
  <c r="H276" i="22"/>
  <c r="H224" i="22" l="1"/>
  <c r="G76" i="55" l="1"/>
  <c r="F76" i="55"/>
  <c r="E76" i="55"/>
  <c r="D76" i="55"/>
  <c r="F73" i="55"/>
  <c r="F79" i="55" s="1"/>
  <c r="G72" i="55"/>
  <c r="G67" i="55"/>
  <c r="G73" i="55" s="1"/>
  <c r="G79" i="55" s="1"/>
  <c r="F67" i="55"/>
  <c r="E67" i="55"/>
  <c r="E73" i="55" s="1"/>
  <c r="E79" i="55" s="1"/>
  <c r="D67" i="55"/>
  <c r="D73" i="55" s="1"/>
  <c r="D79" i="55" s="1"/>
  <c r="G64" i="55"/>
  <c r="G57" i="55"/>
  <c r="H11" i="1" l="1"/>
  <c r="I11" i="1"/>
  <c r="J11" i="1"/>
  <c r="K11" i="1"/>
  <c r="L11" i="1"/>
  <c r="M11" i="1"/>
  <c r="N11" i="1"/>
  <c r="O11" i="1"/>
  <c r="P11" i="1"/>
  <c r="Q11" i="1"/>
  <c r="R11" i="1"/>
  <c r="Q12" i="1"/>
  <c r="R12" i="1"/>
  <c r="H28" i="1" l="1"/>
  <c r="Q20" i="8" s="1"/>
  <c r="L258" i="22"/>
  <c r="L257" i="22" s="1"/>
  <c r="L256" i="22" s="1"/>
  <c r="L255" i="22" s="1"/>
  <c r="K258" i="22"/>
  <c r="K257" i="22" s="1"/>
  <c r="K256" i="22" s="1"/>
  <c r="J258" i="22"/>
  <c r="J257" i="22" s="1"/>
  <c r="J256" i="22" s="1"/>
  <c r="I258" i="22"/>
  <c r="I257" i="22" s="1"/>
  <c r="I256" i="22" s="1"/>
  <c r="I253" i="22" s="1"/>
  <c r="I251" i="22" s="1"/>
  <c r="H258" i="22"/>
  <c r="H257" i="22" s="1"/>
  <c r="H256" i="22" s="1"/>
  <c r="H255" i="22" s="1"/>
  <c r="I255" i="22" l="1"/>
  <c r="K255" i="22"/>
  <c r="K253" i="22"/>
  <c r="K251" i="22" s="1"/>
  <c r="J255" i="22"/>
  <c r="J253" i="22"/>
  <c r="J251" i="22" s="1"/>
  <c r="H253" i="22"/>
  <c r="H251" i="22" s="1"/>
  <c r="L253" i="22"/>
  <c r="L251" i="22" s="1"/>
  <c r="G79" i="52" l="1"/>
  <c r="F79" i="52"/>
  <c r="E79" i="52"/>
  <c r="D79" i="52"/>
  <c r="F76" i="52"/>
  <c r="F82" i="52" s="1"/>
  <c r="G75" i="52"/>
  <c r="G70" i="52"/>
  <c r="G76" i="52" s="1"/>
  <c r="G82" i="52" s="1"/>
  <c r="F70" i="52"/>
  <c r="E70" i="52"/>
  <c r="E76" i="52" s="1"/>
  <c r="E82" i="52" s="1"/>
  <c r="D70" i="52"/>
  <c r="D76" i="52" s="1"/>
  <c r="D82" i="52" s="1"/>
  <c r="G67" i="52"/>
  <c r="G60" i="52"/>
  <c r="G92" i="53" l="1"/>
  <c r="F92" i="53"/>
  <c r="E92" i="53"/>
  <c r="D92" i="53"/>
  <c r="E89" i="53"/>
  <c r="E95" i="53" s="1"/>
  <c r="G88" i="53"/>
  <c r="G83" i="53"/>
  <c r="G89" i="53" s="1"/>
  <c r="G95" i="53" s="1"/>
  <c r="F83" i="53"/>
  <c r="F89" i="53" s="1"/>
  <c r="F95" i="53" s="1"/>
  <c r="E83" i="53"/>
  <c r="D83" i="53"/>
  <c r="D89" i="53" s="1"/>
  <c r="D95" i="53" s="1"/>
  <c r="G80" i="53"/>
  <c r="G59" i="53"/>
  <c r="G88" i="50" l="1"/>
  <c r="F88" i="50"/>
  <c r="E88" i="50"/>
  <c r="D88" i="50"/>
  <c r="E86" i="50"/>
  <c r="E85" i="50"/>
  <c r="E91" i="50" s="1"/>
  <c r="G84" i="50"/>
  <c r="G79" i="50"/>
  <c r="G85" i="50" s="1"/>
  <c r="G91" i="50" s="1"/>
  <c r="F79" i="50"/>
  <c r="F86" i="50" s="1"/>
  <c r="E79" i="50"/>
  <c r="D79" i="50"/>
  <c r="D86" i="50" s="1"/>
  <c r="G70" i="50"/>
  <c r="G60" i="50"/>
  <c r="F85" i="50" l="1"/>
  <c r="F91" i="50" s="1"/>
  <c r="D85" i="50"/>
  <c r="D91" i="50" s="1"/>
  <c r="G115" i="48" l="1"/>
  <c r="F115" i="48"/>
  <c r="E115" i="48"/>
  <c r="D115" i="48"/>
  <c r="G111" i="48"/>
  <c r="G105" i="48"/>
  <c r="G112" i="48" s="1"/>
  <c r="G118" i="48" s="1"/>
  <c r="F105" i="48"/>
  <c r="F107" i="48" s="1"/>
  <c r="F112" i="48" s="1"/>
  <c r="E105" i="48"/>
  <c r="E107" i="48" s="1"/>
  <c r="E112" i="48" s="1"/>
  <c r="F99" i="48"/>
  <c r="E99" i="48"/>
  <c r="D99" i="48"/>
  <c r="F94" i="48"/>
  <c r="E94" i="48"/>
  <c r="D94" i="48"/>
  <c r="D105" i="48" s="1"/>
  <c r="D107" i="48" s="1"/>
  <c r="D112" i="48" s="1"/>
  <c r="G93" i="48"/>
  <c r="G74" i="48"/>
  <c r="D113" i="48" l="1"/>
  <c r="D118" i="48"/>
  <c r="E118" i="48"/>
  <c r="E113" i="48"/>
  <c r="F113" i="48"/>
  <c r="F118" i="48"/>
  <c r="G115" i="44" l="1"/>
  <c r="G112" i="44"/>
  <c r="F112" i="44"/>
  <c r="E112" i="44"/>
  <c r="D112" i="44"/>
  <c r="F103" i="44"/>
  <c r="F109" i="44" s="1"/>
  <c r="F98" i="44"/>
  <c r="E98" i="44"/>
  <c r="E103" i="44" s="1"/>
  <c r="E109" i="44" s="1"/>
  <c r="D98" i="44"/>
  <c r="F92" i="44"/>
  <c r="E92" i="44"/>
  <c r="D92" i="44"/>
  <c r="D103" i="44" s="1"/>
  <c r="D109" i="44" s="1"/>
  <c r="G90" i="44"/>
  <c r="G69" i="44"/>
  <c r="G87" i="46" l="1"/>
  <c r="F87" i="46"/>
  <c r="E87" i="46"/>
  <c r="D87" i="46"/>
  <c r="G84" i="46"/>
  <c r="G90" i="46" s="1"/>
  <c r="G83" i="46"/>
  <c r="G78" i="46"/>
  <c r="F78" i="46"/>
  <c r="F85" i="46" s="1"/>
  <c r="E78" i="46"/>
  <c r="E85" i="46" s="1"/>
  <c r="D78" i="46"/>
  <c r="D85" i="46" s="1"/>
  <c r="G70" i="46"/>
  <c r="G60" i="46"/>
  <c r="D84" i="46" l="1"/>
  <c r="D90" i="46" s="1"/>
  <c r="E84" i="46"/>
  <c r="E90" i="46" s="1"/>
  <c r="F84" i="46"/>
  <c r="F90" i="46" s="1"/>
  <c r="G84" i="42" l="1"/>
  <c r="F84" i="42"/>
  <c r="E84" i="42"/>
  <c r="D84" i="42"/>
  <c r="E82" i="42"/>
  <c r="E81" i="42"/>
  <c r="E87" i="42" s="1"/>
  <c r="G80" i="42"/>
  <c r="G75" i="42"/>
  <c r="G81" i="42" s="1"/>
  <c r="G87" i="42" s="1"/>
  <c r="F75" i="42"/>
  <c r="F82" i="42" s="1"/>
  <c r="E75" i="42"/>
  <c r="D75" i="42"/>
  <c r="D82" i="42" s="1"/>
  <c r="G70" i="42"/>
  <c r="G60" i="42"/>
  <c r="F81" i="42" l="1"/>
  <c r="F87" i="42" s="1"/>
  <c r="D81" i="42"/>
  <c r="D87" i="42" s="1"/>
  <c r="H16" i="58" l="1"/>
  <c r="J15" i="58"/>
  <c r="J14" i="58"/>
  <c r="J11" i="58"/>
  <c r="J10" i="58"/>
  <c r="J9" i="58"/>
  <c r="J8" i="58"/>
  <c r="J7" i="58"/>
  <c r="J6" i="58"/>
  <c r="J16" i="58" s="1"/>
  <c r="G105" i="40"/>
  <c r="F105" i="40"/>
  <c r="E105" i="40"/>
  <c r="D105" i="40"/>
  <c r="F102" i="40"/>
  <c r="F108" i="40" s="1"/>
  <c r="G101" i="40"/>
  <c r="G96" i="40"/>
  <c r="G102" i="40" s="1"/>
  <c r="G108" i="40" s="1"/>
  <c r="F96" i="40"/>
  <c r="E96" i="40"/>
  <c r="E102" i="40" s="1"/>
  <c r="E108" i="40" s="1"/>
  <c r="D96" i="40"/>
  <c r="D102" i="40" s="1"/>
  <c r="D108" i="40" s="1"/>
  <c r="G82" i="40"/>
  <c r="G68" i="40"/>
  <c r="K27" i="57" l="1"/>
  <c r="J27" i="57"/>
  <c r="H27" i="57"/>
  <c r="F27" i="57"/>
  <c r="L27" i="57" s="1"/>
  <c r="K26" i="57"/>
  <c r="J26" i="57"/>
  <c r="F26" i="57"/>
  <c r="L26" i="57" s="1"/>
  <c r="K25" i="57"/>
  <c r="J25" i="57"/>
  <c r="H25" i="57"/>
  <c r="F25" i="57"/>
  <c r="L25" i="57" s="1"/>
  <c r="K24" i="57"/>
  <c r="F24" i="57"/>
  <c r="L24" i="57" s="1"/>
  <c r="K23" i="57"/>
  <c r="F23" i="57"/>
  <c r="L23" i="57" s="1"/>
  <c r="L22" i="57"/>
  <c r="K22" i="57"/>
  <c r="F22" i="57"/>
  <c r="L21" i="57"/>
  <c r="K21" i="57"/>
  <c r="F21" i="57"/>
  <c r="K20" i="57"/>
  <c r="F20" i="57"/>
  <c r="L20" i="57" s="1"/>
  <c r="K19" i="57"/>
  <c r="F19" i="57"/>
  <c r="L19" i="57" s="1"/>
  <c r="L18" i="57"/>
  <c r="K18" i="57"/>
  <c r="F18" i="57"/>
  <c r="L17" i="57"/>
  <c r="K17" i="57"/>
  <c r="H17" i="57"/>
  <c r="F17" i="57"/>
  <c r="K16" i="57"/>
  <c r="J16" i="57"/>
  <c r="H16" i="57"/>
  <c r="F16" i="57"/>
  <c r="L16" i="57" s="1"/>
  <c r="L15" i="57"/>
  <c r="K15" i="57"/>
  <c r="H15" i="57"/>
  <c r="F15" i="57"/>
  <c r="K14" i="57"/>
  <c r="J14" i="57"/>
  <c r="H14" i="57"/>
  <c r="F14" i="57"/>
  <c r="L14" i="57" s="1"/>
  <c r="K13" i="57"/>
  <c r="H13" i="57"/>
  <c r="F13" i="57"/>
  <c r="L13" i="57" s="1"/>
  <c r="K12" i="57"/>
  <c r="H12" i="57"/>
  <c r="F12" i="57"/>
  <c r="L12" i="57" s="1"/>
  <c r="K11" i="57"/>
  <c r="H11" i="57"/>
  <c r="L11" i="57" s="1"/>
  <c r="L10" i="57"/>
  <c r="K10" i="57"/>
  <c r="F10" i="57"/>
  <c r="L9" i="57"/>
  <c r="K9" i="57"/>
  <c r="F9" i="57"/>
  <c r="K8" i="57"/>
  <c r="F8" i="57"/>
  <c r="L8" i="57" s="1"/>
  <c r="K7" i="57"/>
  <c r="F7" i="57"/>
  <c r="L7" i="57" s="1"/>
  <c r="K6" i="57"/>
  <c r="J6" i="57"/>
  <c r="J28" i="57" s="1"/>
  <c r="H6" i="57"/>
  <c r="H28" i="57" s="1"/>
  <c r="F6" i="57"/>
  <c r="F28" i="57" s="1"/>
  <c r="G105" i="38"/>
  <c r="G108" i="38" s="1"/>
  <c r="F105" i="38"/>
  <c r="E105" i="38"/>
  <c r="D105" i="38"/>
  <c r="D102" i="38"/>
  <c r="D103" i="38" s="1"/>
  <c r="D96" i="38"/>
  <c r="F86" i="38"/>
  <c r="F96" i="38" s="1"/>
  <c r="F102" i="38" s="1"/>
  <c r="E86" i="38"/>
  <c r="E96" i="38" s="1"/>
  <c r="E102" i="38" s="1"/>
  <c r="D86" i="38"/>
  <c r="F71" i="38"/>
  <c r="E71" i="38"/>
  <c r="D71" i="38"/>
  <c r="G69" i="38"/>
  <c r="G62" i="38"/>
  <c r="L6" i="57" l="1"/>
  <c r="L28" i="57" s="1"/>
  <c r="E108" i="38"/>
  <c r="E103" i="38"/>
  <c r="F103" i="38"/>
  <c r="F108" i="38"/>
  <c r="D108" i="38"/>
  <c r="G87" i="36" l="1"/>
  <c r="F87" i="36"/>
  <c r="E87" i="36"/>
  <c r="D87" i="36"/>
  <c r="E85" i="36"/>
  <c r="G84" i="36"/>
  <c r="G90" i="36" s="1"/>
  <c r="E84" i="36"/>
  <c r="E90" i="36" s="1"/>
  <c r="G83" i="36"/>
  <c r="G78" i="36"/>
  <c r="F78" i="36"/>
  <c r="F85" i="36" s="1"/>
  <c r="E78" i="36"/>
  <c r="D78" i="36"/>
  <c r="D85" i="36" s="1"/>
  <c r="G70" i="36"/>
  <c r="G60" i="36"/>
  <c r="D84" i="36" l="1"/>
  <c r="D90" i="36" s="1"/>
  <c r="F84" i="36"/>
  <c r="F90" i="36" s="1"/>
  <c r="G83" i="56" l="1"/>
  <c r="F83" i="56"/>
  <c r="E83" i="56"/>
  <c r="D83" i="56"/>
  <c r="G79" i="56"/>
  <c r="G74" i="56"/>
  <c r="G80" i="56" s="1"/>
  <c r="G86" i="56" s="1"/>
  <c r="F74" i="56"/>
  <c r="F80" i="56" s="1"/>
  <c r="E74" i="56"/>
  <c r="E80" i="56" s="1"/>
  <c r="D74" i="56"/>
  <c r="D80" i="56" s="1"/>
  <c r="D68" i="56"/>
  <c r="G66" i="56"/>
  <c r="G60" i="56"/>
  <c r="E81" i="56" l="1"/>
  <c r="E86" i="56"/>
  <c r="F81" i="56"/>
  <c r="F86" i="56"/>
  <c r="D81" i="56"/>
  <c r="D86" i="56"/>
  <c r="H14" i="51" l="1"/>
  <c r="G14" i="51"/>
  <c r="F14" i="51"/>
  <c r="H14" i="54"/>
  <c r="G14" i="54"/>
  <c r="F14" i="54"/>
  <c r="K103" i="22" l="1"/>
  <c r="Z13" i="32"/>
  <c r="L152" i="22" l="1"/>
  <c r="L151" i="22" s="1"/>
  <c r="K183" i="22"/>
  <c r="L183" i="22"/>
  <c r="K178" i="22"/>
  <c r="L178" i="22"/>
  <c r="K175" i="22"/>
  <c r="L175" i="22"/>
  <c r="K167" i="22"/>
  <c r="L167" i="22"/>
  <c r="K164" i="22"/>
  <c r="L164" i="22"/>
  <c r="K158" i="22"/>
  <c r="L158" i="22"/>
  <c r="K152" i="22"/>
  <c r="K151" i="22" s="1"/>
  <c r="H152" i="22"/>
  <c r="L157" i="22" l="1"/>
  <c r="L150" i="22" s="1"/>
  <c r="L149" i="22" s="1"/>
  <c r="L147" i="22" s="1"/>
  <c r="L145" i="22" s="1"/>
  <c r="K157" i="22"/>
  <c r="K150" i="22" s="1"/>
  <c r="K149" i="22" s="1"/>
  <c r="K147" i="22" s="1"/>
  <c r="K145" i="22" s="1"/>
  <c r="L105" i="22" l="1"/>
  <c r="I105" i="22"/>
  <c r="H105" i="22"/>
  <c r="I109" i="22"/>
  <c r="I112" i="22"/>
  <c r="I117" i="22"/>
  <c r="I122" i="22"/>
  <c r="H167" i="22" l="1"/>
  <c r="AB47" i="8" l="1"/>
  <c r="AB46" i="8" s="1"/>
  <c r="P47" i="8"/>
  <c r="P46" i="8" s="1"/>
  <c r="D47" i="8"/>
  <c r="D46" i="8" s="1"/>
  <c r="AM46" i="8"/>
  <c r="AL46" i="8"/>
  <c r="AK46" i="8"/>
  <c r="AJ46" i="8"/>
  <c r="AI46" i="8"/>
  <c r="AH46" i="8"/>
  <c r="AG46" i="8"/>
  <c r="AF46" i="8"/>
  <c r="AE46" i="8"/>
  <c r="AD46" i="8"/>
  <c r="AC46" i="8"/>
  <c r="AA46" i="8"/>
  <c r="Z46" i="8"/>
  <c r="Y46" i="8"/>
  <c r="X46" i="8"/>
  <c r="W46" i="8"/>
  <c r="V46" i="8"/>
  <c r="U46" i="8"/>
  <c r="T46" i="8"/>
  <c r="S46" i="8"/>
  <c r="R46" i="8"/>
  <c r="Q46" i="8"/>
  <c r="O46" i="8"/>
  <c r="N46" i="8"/>
  <c r="M46" i="8"/>
  <c r="L46" i="8"/>
  <c r="K46" i="8"/>
  <c r="J46" i="8"/>
  <c r="I46" i="8"/>
  <c r="H46" i="8"/>
  <c r="G46" i="8"/>
  <c r="F46" i="8"/>
  <c r="E46" i="8"/>
  <c r="AB45" i="8"/>
  <c r="P45" i="8"/>
  <c r="D45" i="8"/>
  <c r="AB44" i="8"/>
  <c r="P44" i="8"/>
  <c r="K44" i="8"/>
  <c r="D44" i="8" s="1"/>
  <c r="AB43" i="8"/>
  <c r="P43" i="8"/>
  <c r="D43" i="8"/>
  <c r="AB42" i="8"/>
  <c r="P42" i="8"/>
  <c r="D42" i="8"/>
  <c r="AM41" i="8"/>
  <c r="AL41" i="8"/>
  <c r="AK41" i="8"/>
  <c r="AJ41" i="8"/>
  <c r="AI41" i="8"/>
  <c r="AH41" i="8"/>
  <c r="AG41" i="8"/>
  <c r="AF41" i="8"/>
  <c r="AE41" i="8"/>
  <c r="AD41" i="8"/>
  <c r="AA41" i="8"/>
  <c r="Z41" i="8"/>
  <c r="Y41" i="8"/>
  <c r="X41" i="8"/>
  <c r="W41" i="8"/>
  <c r="V41" i="8"/>
  <c r="U41" i="8"/>
  <c r="T41" i="8"/>
  <c r="S41" i="8"/>
  <c r="R41" i="8"/>
  <c r="Q41" i="8"/>
  <c r="O41" i="8"/>
  <c r="N41" i="8"/>
  <c r="M41" i="8"/>
  <c r="L41" i="8"/>
  <c r="K41" i="8"/>
  <c r="J41" i="8"/>
  <c r="I41" i="8"/>
  <c r="H41" i="8"/>
  <c r="G41" i="8"/>
  <c r="F41" i="8"/>
  <c r="E41" i="8"/>
  <c r="AB37" i="8"/>
  <c r="P37" i="8"/>
  <c r="D37" i="8"/>
  <c r="AB36" i="8"/>
  <c r="P36" i="8"/>
  <c r="D36" i="8"/>
  <c r="AB35" i="8"/>
  <c r="P35" i="8"/>
  <c r="D35" i="8"/>
  <c r="AB34" i="8"/>
  <c r="P34" i="8"/>
  <c r="D34" i="8"/>
  <c r="AB33" i="8"/>
  <c r="P33" i="8"/>
  <c r="D33" i="8"/>
  <c r="AB32" i="8"/>
  <c r="P32" i="8"/>
  <c r="D32" i="8"/>
  <c r="D31" i="8"/>
  <c r="AB30" i="8"/>
  <c r="P30" i="8"/>
  <c r="D30" i="8"/>
  <c r="AB29" i="8"/>
  <c r="P29" i="8"/>
  <c r="D29" i="8"/>
  <c r="AB28" i="8"/>
  <c r="P28" i="8"/>
  <c r="D28" i="8"/>
  <c r="AB27" i="8"/>
  <c r="P27" i="8"/>
  <c r="D27" i="8"/>
  <c r="AM26" i="8"/>
  <c r="AL26" i="8"/>
  <c r="AK26" i="8"/>
  <c r="AJ26" i="8"/>
  <c r="AH26" i="8"/>
  <c r="AG26" i="8"/>
  <c r="AF26" i="8"/>
  <c r="AE26" i="8"/>
  <c r="AD26" i="8"/>
  <c r="AC26" i="8"/>
  <c r="AA26" i="8"/>
  <c r="Z26" i="8"/>
  <c r="Y26" i="8"/>
  <c r="X26" i="8"/>
  <c r="V26" i="8"/>
  <c r="U26" i="8"/>
  <c r="T26" i="8"/>
  <c r="S26" i="8"/>
  <c r="R26" i="8"/>
  <c r="Q26" i="8"/>
  <c r="O26" i="8"/>
  <c r="N26" i="8"/>
  <c r="M26" i="8"/>
  <c r="L26" i="8"/>
  <c r="K26" i="8"/>
  <c r="J26" i="8"/>
  <c r="I26" i="8"/>
  <c r="H26" i="8"/>
  <c r="G26" i="8"/>
  <c r="F26" i="8"/>
  <c r="E26" i="8"/>
  <c r="AB25" i="8"/>
  <c r="AB24" i="8" s="1"/>
  <c r="P25" i="8"/>
  <c r="P24" i="8" s="1"/>
  <c r="N25" i="8"/>
  <c r="N24" i="8" s="1"/>
  <c r="L25" i="8"/>
  <c r="L24" i="8" s="1"/>
  <c r="K25" i="8"/>
  <c r="K24" i="8" s="1"/>
  <c r="J25" i="8"/>
  <c r="J24" i="8" s="1"/>
  <c r="G25" i="8"/>
  <c r="G24" i="8" s="1"/>
  <c r="AC24" i="8"/>
  <c r="AA24" i="8"/>
  <c r="Z24" i="8"/>
  <c r="Y24" i="8"/>
  <c r="X24" i="8"/>
  <c r="W24" i="8"/>
  <c r="V24" i="8"/>
  <c r="U24" i="8"/>
  <c r="T24" i="8"/>
  <c r="S24" i="8"/>
  <c r="R24" i="8"/>
  <c r="Q24" i="8"/>
  <c r="O24" i="8"/>
  <c r="M24" i="8"/>
  <c r="I24" i="8"/>
  <c r="H24" i="8"/>
  <c r="F24" i="8"/>
  <c r="E24" i="8"/>
  <c r="AB23" i="8"/>
  <c r="P23" i="8"/>
  <c r="D23" i="8"/>
  <c r="AB22" i="8"/>
  <c r="P22" i="8"/>
  <c r="D22" i="8"/>
  <c r="P21" i="8"/>
  <c r="AB20" i="8"/>
  <c r="P20" i="8"/>
  <c r="D20" i="8"/>
  <c r="AB19" i="8"/>
  <c r="P19" i="8"/>
  <c r="D19" i="8"/>
  <c r="AM16" i="8"/>
  <c r="AL16" i="8"/>
  <c r="AK16" i="8"/>
  <c r="AJ16" i="8"/>
  <c r="AI16" i="8"/>
  <c r="AH16" i="8"/>
  <c r="AG16" i="8"/>
  <c r="AF16" i="8"/>
  <c r="AE16" i="8"/>
  <c r="AD16" i="8"/>
  <c r="AA16" i="8"/>
  <c r="Z16" i="8"/>
  <c r="Y16" i="8"/>
  <c r="X16" i="8"/>
  <c r="W16" i="8"/>
  <c r="V16" i="8"/>
  <c r="U16" i="8"/>
  <c r="T16" i="8"/>
  <c r="S16" i="8"/>
  <c r="R16" i="8"/>
  <c r="O16" i="8"/>
  <c r="N16" i="8"/>
  <c r="M16" i="8"/>
  <c r="L16" i="8"/>
  <c r="K16" i="8"/>
  <c r="J16" i="8"/>
  <c r="I16" i="8"/>
  <c r="H16" i="8"/>
  <c r="G16" i="8"/>
  <c r="F16" i="8"/>
  <c r="P15" i="8"/>
  <c r="AB14" i="8"/>
  <c r="P14" i="8"/>
  <c r="D14" i="8"/>
  <c r="D13" i="8"/>
  <c r="AB10" i="8"/>
  <c r="P9" i="8"/>
  <c r="AB7" i="8"/>
  <c r="P7" i="8"/>
  <c r="AM5" i="8"/>
  <c r="AL5" i="8"/>
  <c r="AK5" i="8"/>
  <c r="AJ5" i="8"/>
  <c r="AI5" i="8"/>
  <c r="AH5" i="8"/>
  <c r="AF5" i="8"/>
  <c r="AE5" i="8"/>
  <c r="AD5" i="8"/>
  <c r="AA5" i="8"/>
  <c r="Z5" i="8"/>
  <c r="Y5" i="8"/>
  <c r="X5" i="8"/>
  <c r="W5" i="8"/>
  <c r="V5" i="8"/>
  <c r="T5" i="8"/>
  <c r="S5" i="8"/>
  <c r="R5" i="8"/>
  <c r="O5" i="8"/>
  <c r="N5" i="8"/>
  <c r="M5" i="8"/>
  <c r="L5" i="8"/>
  <c r="K5" i="8"/>
  <c r="J5" i="8"/>
  <c r="H5" i="8"/>
  <c r="F5" i="8"/>
  <c r="AB41" i="8" l="1"/>
  <c r="AL4" i="8"/>
  <c r="AK4" i="8"/>
  <c r="H4" i="8"/>
  <c r="AD4" i="8"/>
  <c r="T4" i="8"/>
  <c r="X4" i="8"/>
  <c r="AH4" i="8"/>
  <c r="V4" i="8"/>
  <c r="L4" i="8"/>
  <c r="D25" i="8"/>
  <c r="D24" i="8" s="1"/>
  <c r="O4" i="8"/>
  <c r="R4" i="8"/>
  <c r="Z4" i="8"/>
  <c r="F4" i="8"/>
  <c r="AF4" i="8"/>
  <c r="AJ4" i="8"/>
  <c r="D26" i="8"/>
  <c r="D41" i="8"/>
  <c r="AE4" i="8"/>
  <c r="AM4" i="8"/>
  <c r="M4" i="8"/>
  <c r="J4" i="8"/>
  <c r="K4" i="8"/>
  <c r="P41" i="8"/>
  <c r="Y4" i="8"/>
  <c r="N4" i="8"/>
  <c r="S4" i="8"/>
  <c r="AA4" i="8"/>
  <c r="L288" i="22" l="1"/>
  <c r="K288" i="22"/>
  <c r="J288" i="22"/>
  <c r="I288" i="22"/>
  <c r="H288" i="22"/>
  <c r="L285" i="22"/>
  <c r="K285" i="22"/>
  <c r="J285" i="22"/>
  <c r="I285" i="22"/>
  <c r="H285" i="22"/>
  <c r="L275" i="22"/>
  <c r="L274" i="22" s="1"/>
  <c r="L273" i="22" s="1"/>
  <c r="L271" i="22" s="1"/>
  <c r="L269" i="22" s="1"/>
  <c r="L30" i="1" s="1"/>
  <c r="K275" i="22"/>
  <c r="K274" i="22" s="1"/>
  <c r="K273" i="22" s="1"/>
  <c r="K271" i="22" s="1"/>
  <c r="K269" i="22" s="1"/>
  <c r="N30" i="1" s="1"/>
  <c r="J275" i="22"/>
  <c r="J274" i="22" s="1"/>
  <c r="J273" i="22" s="1"/>
  <c r="J271" i="22" s="1"/>
  <c r="I275" i="22"/>
  <c r="I274" i="22" s="1"/>
  <c r="I273" i="22" s="1"/>
  <c r="I271" i="22" s="1"/>
  <c r="I269" i="22" s="1"/>
  <c r="H30" i="1" s="1"/>
  <c r="H275" i="22"/>
  <c r="L249" i="22"/>
  <c r="K249" i="22"/>
  <c r="I249" i="22"/>
  <c r="H249" i="22"/>
  <c r="L245" i="22"/>
  <c r="K245" i="22"/>
  <c r="I245" i="22"/>
  <c r="H245" i="22"/>
  <c r="L242" i="22"/>
  <c r="K242" i="22"/>
  <c r="I242" i="22"/>
  <c r="H242" i="22"/>
  <c r="L237" i="22"/>
  <c r="K237" i="22"/>
  <c r="I237" i="22"/>
  <c r="H237" i="22"/>
  <c r="L234" i="22"/>
  <c r="K234" i="22"/>
  <c r="I234" i="22"/>
  <c r="H234" i="22"/>
  <c r="L229" i="22"/>
  <c r="K229" i="22"/>
  <c r="I229" i="22"/>
  <c r="H229" i="22"/>
  <c r="L224" i="22"/>
  <c r="L223" i="22" s="1"/>
  <c r="K224" i="22"/>
  <c r="K223" i="22" s="1"/>
  <c r="J223" i="22"/>
  <c r="I224" i="22"/>
  <c r="I223" i="22" s="1"/>
  <c r="H223" i="22"/>
  <c r="H274" i="22" l="1"/>
  <c r="H273" i="22" s="1"/>
  <c r="H271" i="22" s="1"/>
  <c r="H269" i="22" s="1"/>
  <c r="G30" i="1" s="1"/>
  <c r="J284" i="22"/>
  <c r="J283" i="22" s="1"/>
  <c r="J282" i="22" s="1"/>
  <c r="J280" i="22" s="1"/>
  <c r="J278" i="22" s="1"/>
  <c r="J269" i="22"/>
  <c r="J30" i="1" s="1"/>
  <c r="K284" i="22"/>
  <c r="K283" i="22" s="1"/>
  <c r="K282" i="22" s="1"/>
  <c r="K280" i="22" s="1"/>
  <c r="K278" i="22" s="1"/>
  <c r="K30" i="1"/>
  <c r="O30" i="1"/>
  <c r="K228" i="22"/>
  <c r="K222" i="22" s="1"/>
  <c r="K221" i="22" s="1"/>
  <c r="K219" i="22" s="1"/>
  <c r="K217" i="22" s="1"/>
  <c r="N27" i="1" s="1"/>
  <c r="I284" i="22"/>
  <c r="I283" i="22" s="1"/>
  <c r="I282" i="22" s="1"/>
  <c r="I280" i="22" s="1"/>
  <c r="I278" i="22" s="1"/>
  <c r="H31" i="1" s="1"/>
  <c r="H284" i="22"/>
  <c r="H283" i="22" s="1"/>
  <c r="H282" i="22" s="1"/>
  <c r="H280" i="22" s="1"/>
  <c r="H278" i="22" s="1"/>
  <c r="G31" i="1" s="1"/>
  <c r="L284" i="22"/>
  <c r="L283" i="22" s="1"/>
  <c r="L282" i="22" s="1"/>
  <c r="L280" i="22" s="1"/>
  <c r="L278" i="22" s="1"/>
  <c r="J222" i="22"/>
  <c r="J221" i="22" s="1"/>
  <c r="J219" i="22" s="1"/>
  <c r="J217" i="22" s="1"/>
  <c r="I228" i="22"/>
  <c r="I222" i="22" s="1"/>
  <c r="I221" i="22" s="1"/>
  <c r="I219" i="22" s="1"/>
  <c r="I217" i="22" s="1"/>
  <c r="H228" i="22"/>
  <c r="H222" i="22" s="1"/>
  <c r="H221" i="22" s="1"/>
  <c r="H219" i="22" s="1"/>
  <c r="L228" i="22"/>
  <c r="L222" i="22" s="1"/>
  <c r="L221" i="22" s="1"/>
  <c r="L219" i="22" s="1"/>
  <c r="L217" i="22" s="1"/>
  <c r="O27" i="1" s="1"/>
  <c r="N31" i="1" l="1"/>
  <c r="K31" i="1"/>
  <c r="L31" i="1"/>
  <c r="O31" i="1"/>
  <c r="J31" i="1"/>
  <c r="M31" i="1"/>
  <c r="H217" i="22"/>
  <c r="G27" i="1" s="1"/>
  <c r="H27" i="1"/>
  <c r="M30" i="1"/>
  <c r="J27" i="1"/>
  <c r="M27" i="1"/>
  <c r="K27" i="1"/>
  <c r="L27" i="1"/>
  <c r="I54" i="1" l="1"/>
  <c r="I49" i="1"/>
  <c r="P49" i="1"/>
  <c r="I32" i="1"/>
  <c r="G15" i="1"/>
  <c r="E6" i="8" l="1"/>
  <c r="Q8" i="1"/>
  <c r="Q13" i="1" s="1"/>
  <c r="R8" i="1"/>
  <c r="R13" i="1" s="1"/>
  <c r="P8" i="1"/>
  <c r="P13" i="1" s="1"/>
  <c r="O15" i="1"/>
  <c r="N15" i="1"/>
  <c r="M15" i="1"/>
  <c r="L15" i="1"/>
  <c r="K15" i="1"/>
  <c r="J15" i="1"/>
  <c r="H15" i="1"/>
  <c r="I23" i="22"/>
  <c r="J23" i="22"/>
  <c r="K23" i="22"/>
  <c r="L23" i="22"/>
  <c r="H23" i="22"/>
  <c r="L15" i="22"/>
  <c r="L14" i="22" s="1"/>
  <c r="L13" i="22" s="1"/>
  <c r="L12" i="22" s="1"/>
  <c r="L10" i="22" s="1"/>
  <c r="L8" i="22" s="1"/>
  <c r="K15" i="22"/>
  <c r="K14" i="22" s="1"/>
  <c r="K13" i="22" s="1"/>
  <c r="K12" i="22" s="1"/>
  <c r="K10" i="22" s="1"/>
  <c r="J15" i="22"/>
  <c r="J14" i="22" s="1"/>
  <c r="J13" i="22" s="1"/>
  <c r="J12" i="22" s="1"/>
  <c r="J10" i="22" s="1"/>
  <c r="J8" i="22" s="1"/>
  <c r="I15" i="22"/>
  <c r="I14" i="22" s="1"/>
  <c r="I13" i="22" s="1"/>
  <c r="I12" i="22" s="1"/>
  <c r="I10" i="22" s="1"/>
  <c r="I8" i="22" s="1"/>
  <c r="H15" i="22"/>
  <c r="H14" i="22" s="1"/>
  <c r="H13" i="22" s="1"/>
  <c r="H12" i="22" s="1"/>
  <c r="H10" i="22" s="1"/>
  <c r="H8" i="22" s="1"/>
  <c r="Q6" i="8" l="1"/>
  <c r="P6" i="8" s="1"/>
  <c r="AC6" i="8"/>
  <c r="AB6" i="8" s="1"/>
  <c r="D6" i="8"/>
  <c r="D5" i="7"/>
  <c r="E5" i="7"/>
  <c r="F5" i="7"/>
  <c r="G5" i="7"/>
  <c r="C7" i="7"/>
  <c r="C5" i="7"/>
  <c r="D7" i="7"/>
  <c r="E7" i="7"/>
  <c r="F7" i="7"/>
  <c r="G7" i="7"/>
  <c r="D17" i="7"/>
  <c r="E17" i="7"/>
  <c r="F17" i="7"/>
  <c r="G17" i="7"/>
  <c r="C17" i="7"/>
  <c r="C19" i="7"/>
  <c r="G19" i="7"/>
  <c r="F19" i="7"/>
  <c r="E19" i="7"/>
  <c r="D19" i="7"/>
  <c r="D22" i="7"/>
  <c r="I428" i="22"/>
  <c r="J428" i="22"/>
  <c r="K428" i="22"/>
  <c r="L428" i="22"/>
  <c r="H428" i="22"/>
  <c r="F25" i="7" l="1"/>
  <c r="G25" i="7" s="1"/>
  <c r="E25" i="7"/>
  <c r="D25" i="7"/>
  <c r="F24" i="7"/>
  <c r="G24" i="7" s="1"/>
  <c r="E24" i="7"/>
  <c r="D24" i="7"/>
  <c r="F23" i="7"/>
  <c r="G23" i="7" s="1"/>
  <c r="E23" i="7"/>
  <c r="D23" i="7"/>
  <c r="F22" i="7"/>
  <c r="G22" i="7" s="1"/>
  <c r="E22" i="7"/>
  <c r="E21" i="7"/>
  <c r="D21" i="7"/>
  <c r="E20" i="7"/>
  <c r="D20" i="7"/>
  <c r="L415" i="22" l="1"/>
  <c r="L414" i="22" s="1"/>
  <c r="L413" i="22" s="1"/>
  <c r="L412" i="22" s="1"/>
  <c r="L410" i="22" s="1"/>
  <c r="L408" i="22" s="1"/>
  <c r="L301" i="22" s="1"/>
  <c r="K415" i="22"/>
  <c r="K414" i="22" s="1"/>
  <c r="K413" i="22" s="1"/>
  <c r="K412" i="22" s="1"/>
  <c r="K410" i="22" s="1"/>
  <c r="K408" i="22" s="1"/>
  <c r="K301" i="22" s="1"/>
  <c r="J415" i="22"/>
  <c r="J414" i="22" s="1"/>
  <c r="J413" i="22" s="1"/>
  <c r="J412" i="22" s="1"/>
  <c r="J410" i="22" s="1"/>
  <c r="J408" i="22" s="1"/>
  <c r="I415" i="22"/>
  <c r="I414" i="22" s="1"/>
  <c r="I413" i="22" s="1"/>
  <c r="I412" i="22" s="1"/>
  <c r="I410" i="22" s="1"/>
  <c r="I408" i="22" s="1"/>
  <c r="H415" i="22"/>
  <c r="H414" i="22" s="1"/>
  <c r="H413" i="22" s="1"/>
  <c r="H412" i="22" s="1"/>
  <c r="H410" i="22" s="1"/>
  <c r="H408" i="22" s="1"/>
  <c r="G48" i="1" s="1"/>
  <c r="H14" i="26"/>
  <c r="G14" i="26"/>
  <c r="H13" i="26"/>
  <c r="G13" i="26"/>
  <c r="F13" i="26"/>
  <c r="F14" i="26" s="1"/>
  <c r="J32" i="22" l="1"/>
  <c r="H10" i="49"/>
  <c r="G10" i="49"/>
  <c r="F10" i="49"/>
  <c r="F11" i="49" l="1"/>
  <c r="G11" i="49"/>
  <c r="H11" i="49"/>
  <c r="G10" i="47" l="1"/>
  <c r="F10" i="47" l="1"/>
  <c r="F11" i="47" s="1"/>
  <c r="H10" i="47"/>
  <c r="H11" i="47" s="1"/>
  <c r="G11" i="47"/>
  <c r="G10" i="45" l="1"/>
  <c r="G11" i="45" s="1"/>
  <c r="H10" i="45"/>
  <c r="H11" i="45" s="1"/>
  <c r="F10" i="45"/>
  <c r="F11" i="45" s="1"/>
  <c r="H10" i="43"/>
  <c r="G10" i="43"/>
  <c r="F10" i="43" l="1"/>
  <c r="F11" i="43" s="1"/>
  <c r="G11" i="43"/>
  <c r="H11" i="43"/>
  <c r="H10" i="41" l="1"/>
  <c r="H11" i="41" s="1"/>
  <c r="F10" i="41"/>
  <c r="F11" i="41" s="1"/>
  <c r="G10" i="41" l="1"/>
  <c r="G11" i="41" s="1"/>
  <c r="G10" i="39" l="1"/>
  <c r="G11" i="39" s="1"/>
  <c r="H10" i="39"/>
  <c r="H11" i="39" s="1"/>
  <c r="F10" i="39"/>
  <c r="F11" i="39" s="1"/>
  <c r="H10" i="37"/>
  <c r="G10" i="37"/>
  <c r="H11" i="37"/>
  <c r="G11" i="37"/>
  <c r="F10" i="37" l="1"/>
  <c r="F11" i="37" s="1"/>
  <c r="K13" i="35" l="1"/>
  <c r="J13" i="35"/>
  <c r="I13" i="35"/>
  <c r="H13" i="35"/>
  <c r="G13" i="35"/>
  <c r="F13" i="35"/>
  <c r="H11" i="34" l="1"/>
  <c r="G11" i="34"/>
  <c r="F11" i="34"/>
  <c r="I158" i="22" l="1"/>
  <c r="I167" i="22"/>
  <c r="I175" i="22"/>
  <c r="I178" i="22"/>
  <c r="AV16" i="33" l="1"/>
  <c r="AS16" i="33"/>
  <c r="AP16" i="33"/>
  <c r="AM16" i="33"/>
  <c r="AJ16" i="33"/>
  <c r="AG16" i="33"/>
  <c r="U16" i="33"/>
  <c r="I16" i="33"/>
  <c r="AV15" i="33"/>
  <c r="AU15" i="33"/>
  <c r="AT15" i="33"/>
  <c r="AS15" i="33"/>
  <c r="AR15" i="33"/>
  <c r="AQ15" i="33"/>
  <c r="AP15" i="33"/>
  <c r="AO15" i="33"/>
  <c r="AN15" i="33"/>
  <c r="AM15" i="33"/>
  <c r="AL15" i="33"/>
  <c r="AK15" i="33"/>
  <c r="AJ15" i="33"/>
  <c r="AI15" i="33"/>
  <c r="AH15" i="33"/>
  <c r="AG15" i="33"/>
  <c r="AF15" i="33"/>
  <c r="AE15" i="33"/>
  <c r="AD15" i="33"/>
  <c r="AC15" i="33"/>
  <c r="AB15" i="33"/>
  <c r="AA15" i="33"/>
  <c r="Z15" i="33"/>
  <c r="Y15" i="33"/>
  <c r="X15" i="33"/>
  <c r="W15" i="33"/>
  <c r="V15" i="33"/>
  <c r="U15" i="33"/>
  <c r="T15" i="33"/>
  <c r="S15" i="33"/>
  <c r="R15" i="33"/>
  <c r="Q15" i="33"/>
  <c r="P15" i="33"/>
  <c r="O15" i="33"/>
  <c r="N15" i="33"/>
  <c r="M15" i="33"/>
  <c r="L15" i="33"/>
  <c r="K15" i="33"/>
  <c r="J15" i="33"/>
  <c r="I15" i="33"/>
  <c r="G15" i="33"/>
  <c r="AV14" i="33"/>
  <c r="AG14" i="33"/>
  <c r="AF14" i="33"/>
  <c r="AF16" i="33" s="1"/>
  <c r="AD14" i="33"/>
  <c r="AD16" i="33" s="1"/>
  <c r="AA14" i="33"/>
  <c r="AA16" i="33" s="1"/>
  <c r="Z14" i="33"/>
  <c r="Y14" i="33" s="1"/>
  <c r="Y16" i="33" s="1"/>
  <c r="X14" i="33"/>
  <c r="X16" i="33" s="1"/>
  <c r="W14" i="33"/>
  <c r="W16" i="33" s="1"/>
  <c r="U14" i="33"/>
  <c r="R14" i="33"/>
  <c r="R16" i="33" s="1"/>
  <c r="O14" i="33"/>
  <c r="O16" i="33" s="1"/>
  <c r="N14" i="33"/>
  <c r="N16" i="33" s="1"/>
  <c r="L14" i="33"/>
  <c r="L16" i="33" s="1"/>
  <c r="K14" i="33"/>
  <c r="K16" i="33" s="1"/>
  <c r="I14" i="33"/>
  <c r="AU13" i="33"/>
  <c r="AT13" i="33" s="1"/>
  <c r="AT14" i="33" s="1"/>
  <c r="AT16" i="33" s="1"/>
  <c r="AR13" i="33"/>
  <c r="AR14" i="33" s="1"/>
  <c r="AR16" i="33" s="1"/>
  <c r="AO13" i="33"/>
  <c r="AN13" i="33" s="1"/>
  <c r="AN14" i="33" s="1"/>
  <c r="AN16" i="33" s="1"/>
  <c r="AL13" i="33"/>
  <c r="AL14" i="33" s="1"/>
  <c r="AL16" i="33" s="1"/>
  <c r="AI13" i="33"/>
  <c r="AH13" i="33" s="1"/>
  <c r="AH14" i="33" s="1"/>
  <c r="AH16" i="33" s="1"/>
  <c r="AE13" i="33"/>
  <c r="Z13" i="33"/>
  <c r="Y13" i="33"/>
  <c r="W13" i="33"/>
  <c r="V13" i="33" s="1"/>
  <c r="V14" i="33" s="1"/>
  <c r="V16" i="33" s="1"/>
  <c r="Q13" i="33"/>
  <c r="Q14" i="33" s="1"/>
  <c r="Q16" i="33" s="1"/>
  <c r="M13" i="33"/>
  <c r="M14" i="33" s="1"/>
  <c r="M16" i="33" s="1"/>
  <c r="J13" i="33"/>
  <c r="J14" i="33" s="1"/>
  <c r="J16" i="33" s="1"/>
  <c r="G13" i="33"/>
  <c r="G14" i="33" s="1"/>
  <c r="G16" i="33" s="1"/>
  <c r="AR12" i="33"/>
  <c r="AQ12" i="33" s="1"/>
  <c r="AL12" i="33"/>
  <c r="AK12" i="33" s="1"/>
  <c r="AE12" i="33"/>
  <c r="AB12" i="33"/>
  <c r="Z12" i="33"/>
  <c r="Y12" i="33" s="1"/>
  <c r="W12" i="33"/>
  <c r="V12" i="33" s="1"/>
  <c r="Q12" i="33"/>
  <c r="M12" i="33"/>
  <c r="H12" i="33"/>
  <c r="G12" i="33"/>
  <c r="AT11" i="33"/>
  <c r="AQ11" i="33"/>
  <c r="AN11" i="33"/>
  <c r="AK11" i="33"/>
  <c r="AH11" i="33"/>
  <c r="AE11" i="33"/>
  <c r="AB11" i="33"/>
  <c r="Y11" i="33"/>
  <c r="V11" i="33"/>
  <c r="S11" i="33"/>
  <c r="P11" i="33"/>
  <c r="M11" i="33"/>
  <c r="J11" i="33"/>
  <c r="G11" i="33"/>
  <c r="AT10" i="33"/>
  <c r="AQ10" i="33"/>
  <c r="AN10" i="33"/>
  <c r="AK10" i="33"/>
  <c r="AH10" i="33"/>
  <c r="AE10" i="33"/>
  <c r="AE14" i="33" s="1"/>
  <c r="AE16" i="33" s="1"/>
  <c r="AB10" i="33"/>
  <c r="Y10" i="33"/>
  <c r="V10" i="33"/>
  <c r="S10" i="33"/>
  <c r="P10" i="33"/>
  <c r="M10" i="33"/>
  <c r="J10" i="33"/>
  <c r="G10" i="33"/>
  <c r="AE9" i="33"/>
  <c r="AC9" i="33"/>
  <c r="AB9" i="33" s="1"/>
  <c r="AB14" i="33" s="1"/>
  <c r="AB16" i="33" s="1"/>
  <c r="Z9" i="33"/>
  <c r="Y9" i="33" s="1"/>
  <c r="W9" i="33"/>
  <c r="V9" i="33" s="1"/>
  <c r="Q9" i="33"/>
  <c r="P9" i="33" s="1"/>
  <c r="N9" i="33"/>
  <c r="M9" i="33" s="1"/>
  <c r="K9" i="33"/>
  <c r="J9" i="33" s="1"/>
  <c r="H9" i="33"/>
  <c r="G9" i="33" s="1"/>
  <c r="AO14" i="33" l="1"/>
  <c r="AO16" i="33" s="1"/>
  <c r="AL9" i="33"/>
  <c r="AK9" i="33" s="1"/>
  <c r="AR9" i="33"/>
  <c r="AQ9" i="33" s="1"/>
  <c r="T13" i="33"/>
  <c r="AK13" i="33"/>
  <c r="AK14" i="33" s="1"/>
  <c r="AK16" i="33" s="1"/>
  <c r="AQ13" i="33"/>
  <c r="AQ14" i="33" s="1"/>
  <c r="AQ16" i="33" s="1"/>
  <c r="Z16" i="33"/>
  <c r="AI12" i="33"/>
  <c r="AO12" i="33"/>
  <c r="AU12" i="33"/>
  <c r="P13" i="33"/>
  <c r="AC14" i="33"/>
  <c r="AC16" i="33" s="1"/>
  <c r="AI14" i="33"/>
  <c r="AI16" i="33" s="1"/>
  <c r="AU14" i="33"/>
  <c r="AU16" i="33" s="1"/>
  <c r="AU9" i="33" l="1"/>
  <c r="AT9" i="33" s="1"/>
  <c r="AT12" i="33"/>
  <c r="AO9" i="33"/>
  <c r="AN9" i="33" s="1"/>
  <c r="AN12" i="33"/>
  <c r="AI9" i="33"/>
  <c r="AH9" i="33" s="1"/>
  <c r="AH12" i="33"/>
  <c r="T12" i="33"/>
  <c r="T14" i="33"/>
  <c r="T16" i="33" s="1"/>
  <c r="S13" i="33"/>
  <c r="S14" i="33" s="1"/>
  <c r="S16" i="33" s="1"/>
  <c r="P12" i="33"/>
  <c r="P14" i="33"/>
  <c r="P16" i="33" s="1"/>
  <c r="T9" i="33" l="1"/>
  <c r="S9" i="33" s="1"/>
  <c r="S12" i="33"/>
  <c r="AV31" i="32" l="1"/>
  <c r="AS31" i="32"/>
  <c r="AP31" i="32"/>
  <c r="AM31" i="32"/>
  <c r="AL31" i="32"/>
  <c r="AK31" i="32"/>
  <c r="AJ31" i="32"/>
  <c r="AG31" i="32"/>
  <c r="U31" i="32"/>
  <c r="I31" i="32"/>
  <c r="AV30" i="32"/>
  <c r="AU30" i="32"/>
  <c r="AT30" i="32"/>
  <c r="AS30" i="32"/>
  <c r="AR30" i="32"/>
  <c r="AQ30" i="32"/>
  <c r="AP30" i="32"/>
  <c r="AO30" i="32"/>
  <c r="AN30" i="32"/>
  <c r="AM30" i="32"/>
  <c r="AL30" i="32"/>
  <c r="AK30" i="32"/>
  <c r="AJ30" i="32"/>
  <c r="AI30" i="32"/>
  <c r="AH30" i="32"/>
  <c r="AG30" i="32"/>
  <c r="AF30" i="32"/>
  <c r="AE30" i="32"/>
  <c r="AD30" i="32"/>
  <c r="AC30" i="32"/>
  <c r="AB30" i="32"/>
  <c r="AA30" i="32"/>
  <c r="Z30" i="32"/>
  <c r="Y30" i="32"/>
  <c r="X30" i="32"/>
  <c r="W30" i="32"/>
  <c r="V30" i="32"/>
  <c r="U30" i="32"/>
  <c r="T30" i="32"/>
  <c r="S30" i="32"/>
  <c r="R30" i="32"/>
  <c r="Q30" i="32"/>
  <c r="P30" i="32"/>
  <c r="O30" i="32"/>
  <c r="N30" i="32"/>
  <c r="M30" i="32"/>
  <c r="L30" i="32"/>
  <c r="K30" i="32"/>
  <c r="J30" i="32"/>
  <c r="I30" i="32"/>
  <c r="H30" i="32"/>
  <c r="G30" i="32"/>
  <c r="AV29" i="32"/>
  <c r="AG29" i="32"/>
  <c r="AF29" i="32"/>
  <c r="AF31" i="32" s="1"/>
  <c r="AD29" i="32"/>
  <c r="AD31" i="32" s="1"/>
  <c r="AA29" i="32"/>
  <c r="AA31" i="32" s="1"/>
  <c r="X29" i="32"/>
  <c r="X31" i="32" s="1"/>
  <c r="U29" i="32"/>
  <c r="R29" i="32"/>
  <c r="R31" i="32" s="1"/>
  <c r="O29" i="32"/>
  <c r="O31" i="32" s="1"/>
  <c r="L29" i="32"/>
  <c r="L31" i="32" s="1"/>
  <c r="K29" i="32"/>
  <c r="K31" i="32" s="1"/>
  <c r="I29" i="32"/>
  <c r="H29" i="32"/>
  <c r="H31" i="32" s="1"/>
  <c r="AU28" i="32"/>
  <c r="AT28" i="32" s="1"/>
  <c r="AR28" i="32"/>
  <c r="AQ28" i="32"/>
  <c r="AO28" i="32"/>
  <c r="AN28" i="32" s="1"/>
  <c r="AL28" i="32"/>
  <c r="AK28" i="32"/>
  <c r="AI28" i="32"/>
  <c r="AH28" i="32" s="1"/>
  <c r="AE28" i="32"/>
  <c r="AB28" i="32"/>
  <c r="Z28" i="32"/>
  <c r="Y28" i="32" s="1"/>
  <c r="W28" i="32"/>
  <c r="V28" i="32"/>
  <c r="Q28" i="32"/>
  <c r="P28" i="32"/>
  <c r="N28" i="32"/>
  <c r="M28" i="32" s="1"/>
  <c r="J28" i="32"/>
  <c r="G28" i="32"/>
  <c r="T28" i="32" s="1"/>
  <c r="S28" i="32" s="1"/>
  <c r="AT27" i="32"/>
  <c r="AQ27" i="32"/>
  <c r="AN27" i="32"/>
  <c r="AK27" i="32"/>
  <c r="AH27" i="32"/>
  <c r="AB27" i="32"/>
  <c r="Z27" i="32"/>
  <c r="Y27" i="32"/>
  <c r="V27" i="32"/>
  <c r="P27" i="32"/>
  <c r="N27" i="32"/>
  <c r="M27" i="32" s="1"/>
  <c r="J27" i="32"/>
  <c r="G27" i="32"/>
  <c r="T27" i="32" s="1"/>
  <c r="S27" i="32" s="1"/>
  <c r="AU26" i="32"/>
  <c r="AT26" i="32" s="1"/>
  <c r="AR26" i="32"/>
  <c r="AQ26" i="32"/>
  <c r="AO26" i="32"/>
  <c r="AN26" i="32" s="1"/>
  <c r="AL26" i="32"/>
  <c r="AK26" i="32"/>
  <c r="AI26" i="32"/>
  <c r="AH26" i="32" s="1"/>
  <c r="AE26" i="32"/>
  <c r="AB26" i="32"/>
  <c r="Z26" i="32"/>
  <c r="Y26" i="32" s="1"/>
  <c r="W26" i="32"/>
  <c r="V26" i="32"/>
  <c r="Q26" i="32"/>
  <c r="P26" i="32"/>
  <c r="N26" i="32"/>
  <c r="M26" i="32"/>
  <c r="J26" i="32"/>
  <c r="G26" i="32"/>
  <c r="T26" i="32" s="1"/>
  <c r="S26" i="32" s="1"/>
  <c r="AT25" i="32"/>
  <c r="AQ25" i="32"/>
  <c r="AN25" i="32"/>
  <c r="AK25" i="32"/>
  <c r="AH25" i="32"/>
  <c r="AE25" i="32"/>
  <c r="AB25" i="32"/>
  <c r="Z25" i="32"/>
  <c r="Y25" i="32" s="1"/>
  <c r="V25" i="32"/>
  <c r="Q25" i="32"/>
  <c r="P25" i="32"/>
  <c r="N25" i="32"/>
  <c r="M25" i="32"/>
  <c r="J25" i="32"/>
  <c r="G25" i="32"/>
  <c r="T25" i="32" s="1"/>
  <c r="S25" i="32" s="1"/>
  <c r="AT24" i="32"/>
  <c r="AQ24" i="32"/>
  <c r="AN24" i="32"/>
  <c r="AK24" i="32"/>
  <c r="AH24" i="32"/>
  <c r="AE24" i="32"/>
  <c r="AB24" i="32"/>
  <c r="Z24" i="32"/>
  <c r="Y24" i="32" s="1"/>
  <c r="V24" i="32"/>
  <c r="P24" i="32"/>
  <c r="M24" i="32"/>
  <c r="J24" i="32"/>
  <c r="G24" i="32"/>
  <c r="T24" i="32" s="1"/>
  <c r="S24" i="32" s="1"/>
  <c r="AU23" i="32"/>
  <c r="AT23" i="32"/>
  <c r="AR23" i="32"/>
  <c r="AQ23" i="32"/>
  <c r="AO23" i="32"/>
  <c r="AN23" i="32"/>
  <c r="AL23" i="32"/>
  <c r="AK23" i="32"/>
  <c r="AI23" i="32"/>
  <c r="AH23" i="32"/>
  <c r="AE23" i="32"/>
  <c r="AB23" i="32"/>
  <c r="Z23" i="32"/>
  <c r="Y23" i="32"/>
  <c r="W23" i="32"/>
  <c r="V23" i="32"/>
  <c r="T23" i="32"/>
  <c r="S23" i="32"/>
  <c r="Q23" i="32"/>
  <c r="P23" i="32"/>
  <c r="M23" i="32"/>
  <c r="J23" i="32"/>
  <c r="G23" i="32"/>
  <c r="AU22" i="32"/>
  <c r="AT22" i="32"/>
  <c r="AR22" i="32"/>
  <c r="AQ22" i="32" s="1"/>
  <c r="AO22" i="32"/>
  <c r="AN22" i="32"/>
  <c r="AL22" i="32"/>
  <c r="AK22" i="32" s="1"/>
  <c r="AI22" i="32"/>
  <c r="AH22" i="32"/>
  <c r="AE22" i="32"/>
  <c r="AB22" i="32"/>
  <c r="Z22" i="32"/>
  <c r="Y22" i="32"/>
  <c r="W22" i="32"/>
  <c r="V22" i="32" s="1"/>
  <c r="P22" i="32"/>
  <c r="N22" i="32"/>
  <c r="M22" i="32"/>
  <c r="J22" i="32"/>
  <c r="G22" i="32"/>
  <c r="G29" i="32" s="1"/>
  <c r="G31" i="32" s="1"/>
  <c r="AU21" i="32"/>
  <c r="AT21" i="32"/>
  <c r="AR21" i="32"/>
  <c r="AQ21" i="32"/>
  <c r="AO21" i="32"/>
  <c r="AN21" i="32"/>
  <c r="AL21" i="32"/>
  <c r="AK21" i="32"/>
  <c r="AI21" i="32"/>
  <c r="AH21" i="32"/>
  <c r="AE21" i="32"/>
  <c r="AB21" i="32"/>
  <c r="Z21" i="32"/>
  <c r="Y21" i="32"/>
  <c r="W21" i="32"/>
  <c r="V21" i="32"/>
  <c r="Q21" i="32"/>
  <c r="P21" i="32"/>
  <c r="M21" i="32"/>
  <c r="J21" i="32"/>
  <c r="G21" i="32"/>
  <c r="T21" i="32" s="1"/>
  <c r="S21" i="32" s="1"/>
  <c r="AU20" i="32"/>
  <c r="AT20" i="32" s="1"/>
  <c r="AR20" i="32"/>
  <c r="AQ20" i="32"/>
  <c r="AO20" i="32"/>
  <c r="AN20" i="32" s="1"/>
  <c r="AL20" i="32"/>
  <c r="AK20" i="32"/>
  <c r="AI20" i="32"/>
  <c r="AH20" i="32" s="1"/>
  <c r="AE20" i="32"/>
  <c r="AB20" i="32"/>
  <c r="Z20" i="32"/>
  <c r="Y20" i="32" s="1"/>
  <c r="W20" i="32"/>
  <c r="V20" i="32"/>
  <c r="Q20" i="32"/>
  <c r="P20" i="32"/>
  <c r="N20" i="32"/>
  <c r="M20" i="32" s="1"/>
  <c r="J20" i="32"/>
  <c r="G20" i="32"/>
  <c r="AU19" i="32"/>
  <c r="AT19" i="32" s="1"/>
  <c r="AR19" i="32"/>
  <c r="AQ19" i="32"/>
  <c r="AO19" i="32"/>
  <c r="AN19" i="32" s="1"/>
  <c r="AL19" i="32"/>
  <c r="AK19" i="32"/>
  <c r="AI19" i="32"/>
  <c r="AH19" i="32" s="1"/>
  <c r="AE19" i="32"/>
  <c r="AB19" i="32"/>
  <c r="Z19" i="32"/>
  <c r="Y19" i="32" s="1"/>
  <c r="W19" i="32"/>
  <c r="V19" i="32"/>
  <c r="Q19" i="32"/>
  <c r="P19" i="32"/>
  <c r="N19" i="32"/>
  <c r="M19" i="32" s="1"/>
  <c r="J19" i="32"/>
  <c r="G19" i="32"/>
  <c r="AT18" i="32"/>
  <c r="AQ18" i="32"/>
  <c r="AN18" i="32"/>
  <c r="AK18" i="32"/>
  <c r="AH18" i="32"/>
  <c r="AE18" i="32"/>
  <c r="AB18" i="32"/>
  <c r="Z18" i="32"/>
  <c r="Y18" i="32"/>
  <c r="V18" i="32"/>
  <c r="P18" i="32"/>
  <c r="M18" i="32"/>
  <c r="J18" i="32"/>
  <c r="G18" i="32"/>
  <c r="T18" i="32" s="1"/>
  <c r="S18" i="32" s="1"/>
  <c r="AU17" i="32"/>
  <c r="AT17" i="32" s="1"/>
  <c r="AR17" i="32"/>
  <c r="AQ17" i="32"/>
  <c r="AO17" i="32"/>
  <c r="AN17" i="32" s="1"/>
  <c r="AL17" i="32"/>
  <c r="AK17" i="32"/>
  <c r="AI17" i="32"/>
  <c r="AH17" i="32" s="1"/>
  <c r="AE17" i="32"/>
  <c r="AB17" i="32"/>
  <c r="Z17" i="32"/>
  <c r="Y17" i="32" s="1"/>
  <c r="W17" i="32"/>
  <c r="V17" i="32"/>
  <c r="Q17" i="32"/>
  <c r="P17" i="32"/>
  <c r="N17" i="32"/>
  <c r="M17" i="32" s="1"/>
  <c r="J17" i="32"/>
  <c r="G17" i="32"/>
  <c r="AU16" i="32"/>
  <c r="AT16" i="32" s="1"/>
  <c r="AR16" i="32"/>
  <c r="AQ16" i="32"/>
  <c r="AO16" i="32"/>
  <c r="AN16" i="32" s="1"/>
  <c r="AL16" i="32"/>
  <c r="AK16" i="32"/>
  <c r="AI16" i="32"/>
  <c r="AH16" i="32" s="1"/>
  <c r="AE16" i="32"/>
  <c r="AB16" i="32"/>
  <c r="Z16" i="32"/>
  <c r="Y16" i="32" s="1"/>
  <c r="W16" i="32"/>
  <c r="V16" i="32"/>
  <c r="Q16" i="32"/>
  <c r="P16" i="32"/>
  <c r="N16" i="32"/>
  <c r="M16" i="32" s="1"/>
  <c r="J16" i="32"/>
  <c r="G16" i="32"/>
  <c r="AU15" i="32"/>
  <c r="AT15" i="32" s="1"/>
  <c r="AR15" i="32"/>
  <c r="AQ15" i="32"/>
  <c r="AO15" i="32"/>
  <c r="AN15" i="32" s="1"/>
  <c r="AL15" i="32"/>
  <c r="AK15" i="32"/>
  <c r="AI15" i="32"/>
  <c r="AH15" i="32" s="1"/>
  <c r="AE15" i="32"/>
  <c r="Z15" i="32"/>
  <c r="Z29" i="32" s="1"/>
  <c r="Z31" i="32" s="1"/>
  <c r="Y15" i="32"/>
  <c r="W15" i="32"/>
  <c r="V15" i="32"/>
  <c r="T15" i="32"/>
  <c r="S15" i="32"/>
  <c r="P15" i="32"/>
  <c r="G15" i="32"/>
  <c r="AT14" i="32"/>
  <c r="AQ14" i="32"/>
  <c r="AN14" i="32"/>
  <c r="AK14" i="32"/>
  <c r="AH14" i="32"/>
  <c r="AE14" i="32"/>
  <c r="V14" i="32"/>
  <c r="Q14" i="32"/>
  <c r="T14" i="32" s="1"/>
  <c r="S14" i="32" s="1"/>
  <c r="G14" i="32"/>
  <c r="AU13" i="32"/>
  <c r="AU29" i="32" s="1"/>
  <c r="AU31" i="32" s="1"/>
  <c r="AT13" i="32"/>
  <c r="AR13" i="32"/>
  <c r="AQ13" i="32" s="1"/>
  <c r="AQ29" i="32" s="1"/>
  <c r="AQ31" i="32" s="1"/>
  <c r="AO13" i="32"/>
  <c r="AO29" i="32" s="1"/>
  <c r="AO31" i="32" s="1"/>
  <c r="AN13" i="32"/>
  <c r="AL13" i="32"/>
  <c r="AK13" i="32" s="1"/>
  <c r="AI13" i="32"/>
  <c r="AH13" i="32"/>
  <c r="AH29" i="32" s="1"/>
  <c r="AH31" i="32" s="1"/>
  <c r="AE13" i="32"/>
  <c r="Y13" i="32"/>
  <c r="W13" i="32"/>
  <c r="V13" i="32"/>
  <c r="Q13" i="32"/>
  <c r="Q29" i="32" s="1"/>
  <c r="Q31" i="32" s="1"/>
  <c r="P13" i="32"/>
  <c r="P29" i="32" s="1"/>
  <c r="P31" i="32" s="1"/>
  <c r="N13" i="32"/>
  <c r="N29" i="32" s="1"/>
  <c r="N31" i="32" s="1"/>
  <c r="J13" i="32"/>
  <c r="J29" i="32" s="1"/>
  <c r="J31" i="32" s="1"/>
  <c r="G13" i="32"/>
  <c r="AU12" i="32"/>
  <c r="AT12" i="32" s="1"/>
  <c r="AO12" i="32"/>
  <c r="AN12" i="32" s="1"/>
  <c r="AI12" i="32"/>
  <c r="AH12" i="32" s="1"/>
  <c r="AE12" i="32"/>
  <c r="AB12" i="32"/>
  <c r="Z12" i="32"/>
  <c r="Y12" i="32" s="1"/>
  <c r="N12" i="32"/>
  <c r="M12" i="32" s="1"/>
  <c r="K12" i="32"/>
  <c r="J12" i="32"/>
  <c r="H12" i="32"/>
  <c r="G12" i="32" s="1"/>
  <c r="AT11" i="32"/>
  <c r="AQ11" i="32"/>
  <c r="AN11" i="32"/>
  <c r="AK11" i="32"/>
  <c r="AH11" i="32"/>
  <c r="AE11" i="32"/>
  <c r="AB11" i="32"/>
  <c r="Y11" i="32"/>
  <c r="V11" i="32"/>
  <c r="S11" i="32"/>
  <c r="P11" i="32"/>
  <c r="M11" i="32"/>
  <c r="J11" i="32"/>
  <c r="G11" i="32"/>
  <c r="AT10" i="32"/>
  <c r="AQ10" i="32"/>
  <c r="AN10" i="32"/>
  <c r="AK10" i="32"/>
  <c r="AH10" i="32"/>
  <c r="AE10" i="32"/>
  <c r="AB10" i="32"/>
  <c r="Y10" i="32"/>
  <c r="V10" i="32"/>
  <c r="S10" i="32"/>
  <c r="P10" i="32"/>
  <c r="M10" i="32"/>
  <c r="J10" i="32"/>
  <c r="G10" i="32"/>
  <c r="AE9" i="32"/>
  <c r="AE29" i="32" s="1"/>
  <c r="AE31" i="32" s="1"/>
  <c r="AC9" i="32"/>
  <c r="AC29" i="32" s="1"/>
  <c r="AC31" i="32" s="1"/>
  <c r="AB9" i="32"/>
  <c r="AB29" i="32" s="1"/>
  <c r="AB31" i="32" s="1"/>
  <c r="K9" i="32"/>
  <c r="J9" i="32"/>
  <c r="Y29" i="32" l="1"/>
  <c r="Y31" i="32" s="1"/>
  <c r="AT29" i="32"/>
  <c r="AT31" i="32" s="1"/>
  <c r="AN29" i="32"/>
  <c r="AN31" i="32" s="1"/>
  <c r="T13" i="32"/>
  <c r="H9" i="32"/>
  <c r="G9" i="32" s="1"/>
  <c r="Z9" i="32"/>
  <c r="Y9" i="32" s="1"/>
  <c r="T16" i="32"/>
  <c r="S16" i="32" s="1"/>
  <c r="T19" i="32"/>
  <c r="S19" i="32" s="1"/>
  <c r="T20" i="32"/>
  <c r="S20" i="32" s="1"/>
  <c r="W29" i="32"/>
  <c r="AI29" i="32"/>
  <c r="AI31" i="32" s="1"/>
  <c r="AR29" i="32"/>
  <c r="AR31" i="32" s="1"/>
  <c r="AI9" i="32"/>
  <c r="AH9" i="32" s="1"/>
  <c r="AO9" i="32"/>
  <c r="AN9" i="32" s="1"/>
  <c r="AU9" i="32"/>
  <c r="AT9" i="32" s="1"/>
  <c r="Q12" i="32"/>
  <c r="W12" i="32"/>
  <c r="AL12" i="32"/>
  <c r="AR12" i="32"/>
  <c r="T22" i="32"/>
  <c r="S22" i="32" s="1"/>
  <c r="T17" i="32"/>
  <c r="S17" i="32" s="1"/>
  <c r="N9" i="32"/>
  <c r="M9" i="32" s="1"/>
  <c r="M13" i="32"/>
  <c r="M29" i="32" s="1"/>
  <c r="M31" i="32" s="1"/>
  <c r="AL9" i="32" l="1"/>
  <c r="AK9" i="32" s="1"/>
  <c r="AK12" i="32"/>
  <c r="V29" i="32"/>
  <c r="V31" i="32" s="1"/>
  <c r="W31" i="32"/>
  <c r="W9" i="32"/>
  <c r="V9" i="32" s="1"/>
  <c r="V12" i="32"/>
  <c r="Q9" i="32"/>
  <c r="P9" i="32" s="1"/>
  <c r="P12" i="32"/>
  <c r="S13" i="32"/>
  <c r="S29" i="32" s="1"/>
  <c r="S31" i="32" s="1"/>
  <c r="T29" i="32"/>
  <c r="T31" i="32" s="1"/>
  <c r="T12" i="32"/>
  <c r="AR9" i="32"/>
  <c r="AQ9" i="32" s="1"/>
  <c r="AQ12" i="32"/>
  <c r="S12" i="32" l="1"/>
  <c r="T9" i="32"/>
  <c r="S9" i="32" s="1"/>
  <c r="AG26" i="9" l="1"/>
  <c r="AF26" i="9"/>
  <c r="AE26" i="9"/>
  <c r="AD26" i="9"/>
  <c r="AC26" i="9"/>
  <c r="AA26" i="9"/>
  <c r="X26" i="9"/>
  <c r="U26" i="9"/>
  <c r="R26" i="9"/>
  <c r="Q26" i="9"/>
  <c r="O26" i="9"/>
  <c r="N26" i="9"/>
  <c r="L26" i="9"/>
  <c r="K26" i="9"/>
  <c r="I26" i="9"/>
  <c r="H26" i="9"/>
  <c r="AG25" i="9"/>
  <c r="AF25" i="9"/>
  <c r="AE25" i="9"/>
  <c r="AD25" i="9"/>
  <c r="AC25" i="9"/>
  <c r="AB25" i="9"/>
  <c r="AA25" i="9"/>
  <c r="Z25" i="9"/>
  <c r="Y25" i="9"/>
  <c r="X25" i="9"/>
  <c r="W25" i="9"/>
  <c r="V25" i="9"/>
  <c r="U25" i="9"/>
  <c r="R25" i="9"/>
  <c r="Q25" i="9"/>
  <c r="P25" i="9"/>
  <c r="O25" i="9"/>
  <c r="N25" i="9"/>
  <c r="M25" i="9"/>
  <c r="L25" i="9"/>
  <c r="K25" i="9"/>
  <c r="J25" i="9"/>
  <c r="I25" i="9"/>
  <c r="H25" i="9"/>
  <c r="G25" i="9"/>
  <c r="AG24" i="9"/>
  <c r="AF24" i="9"/>
  <c r="AE24" i="9"/>
  <c r="AD24" i="9"/>
  <c r="AC24" i="9"/>
  <c r="AB24" i="9"/>
  <c r="AB26" i="9" s="1"/>
  <c r="AA24" i="9"/>
  <c r="Z24" i="9"/>
  <c r="Z26" i="9" s="1"/>
  <c r="Y24" i="9"/>
  <c r="Y26" i="9" s="1"/>
  <c r="X24" i="9"/>
  <c r="W24" i="9"/>
  <c r="W26" i="9" s="1"/>
  <c r="V24" i="9"/>
  <c r="V26" i="9" s="1"/>
  <c r="U24" i="9"/>
  <c r="T24" i="9"/>
  <c r="T26" i="9" s="1"/>
  <c r="R24" i="9"/>
  <c r="Q24" i="9"/>
  <c r="P24" i="9"/>
  <c r="P26" i="9" s="1"/>
  <c r="O24" i="9"/>
  <c r="N24" i="9"/>
  <c r="M24" i="9"/>
  <c r="M26" i="9" s="1"/>
  <c r="L24" i="9"/>
  <c r="K24" i="9"/>
  <c r="J24" i="9"/>
  <c r="J26" i="9" s="1"/>
  <c r="I24" i="9"/>
  <c r="H24" i="9"/>
  <c r="G24" i="9"/>
  <c r="G26" i="9" s="1"/>
  <c r="AE23" i="9"/>
  <c r="AB23" i="9"/>
  <c r="Z23" i="9"/>
  <c r="Y23" i="9"/>
  <c r="W23" i="9"/>
  <c r="V23" i="9"/>
  <c r="T23" i="9"/>
  <c r="S23" i="9"/>
  <c r="P23" i="9"/>
  <c r="M23" i="9"/>
  <c r="J23" i="9"/>
  <c r="G23" i="9"/>
  <c r="AE22" i="9"/>
  <c r="AB22" i="9"/>
  <c r="Z22" i="9"/>
  <c r="Y22" i="9"/>
  <c r="W22" i="9"/>
  <c r="V22" i="9"/>
  <c r="T22" i="9"/>
  <c r="S22" i="9"/>
  <c r="P22" i="9"/>
  <c r="M22" i="9"/>
  <c r="J22" i="9"/>
  <c r="G22" i="9"/>
  <c r="AE21" i="9"/>
  <c r="AB21" i="9"/>
  <c r="Z21" i="9"/>
  <c r="Y21" i="9"/>
  <c r="W21" i="9"/>
  <c r="V21" i="9"/>
  <c r="T21" i="9"/>
  <c r="S21" i="9"/>
  <c r="P21" i="9"/>
  <c r="M21" i="9"/>
  <c r="J21" i="9"/>
  <c r="G21" i="9"/>
  <c r="AE20" i="9"/>
  <c r="AB20" i="9"/>
  <c r="Z20" i="9"/>
  <c r="Y20" i="9"/>
  <c r="W20" i="9"/>
  <c r="V20" i="9"/>
  <c r="T20" i="9"/>
  <c r="S20" i="9"/>
  <c r="P20" i="9"/>
  <c r="M20" i="9"/>
  <c r="J20" i="9"/>
  <c r="G20" i="9"/>
  <c r="AE19" i="9"/>
  <c r="AB19" i="9"/>
  <c r="Z19" i="9"/>
  <c r="Y19" i="9"/>
  <c r="W19" i="9"/>
  <c r="V19" i="9"/>
  <c r="T19" i="9"/>
  <c r="S19" i="9"/>
  <c r="P19" i="9"/>
  <c r="M19" i="9"/>
  <c r="J19" i="9"/>
  <c r="G19" i="9"/>
  <c r="AE18" i="9"/>
  <c r="AB18" i="9"/>
  <c r="Z18" i="9"/>
  <c r="Y18" i="9"/>
  <c r="W18" i="9"/>
  <c r="V18" i="9"/>
  <c r="T18" i="9"/>
  <c r="S18" i="9"/>
  <c r="P18" i="9"/>
  <c r="M18" i="9"/>
  <c r="J18" i="9"/>
  <c r="G18" i="9"/>
  <c r="AE17" i="9"/>
  <c r="AB17" i="9"/>
  <c r="Z17" i="9"/>
  <c r="Y17" i="9"/>
  <c r="W17" i="9"/>
  <c r="V17" i="9"/>
  <c r="T17" i="9"/>
  <c r="S17" i="9"/>
  <c r="P17" i="9"/>
  <c r="M17" i="9"/>
  <c r="J17" i="9"/>
  <c r="G17" i="9"/>
  <c r="AE16" i="9"/>
  <c r="AB16" i="9"/>
  <c r="Z16" i="9"/>
  <c r="Y16" i="9"/>
  <c r="W16" i="9"/>
  <c r="V16" i="9"/>
  <c r="T16" i="9"/>
  <c r="S16" i="9"/>
  <c r="P16" i="9"/>
  <c r="M16" i="9"/>
  <c r="J16" i="9"/>
  <c r="G16" i="9"/>
  <c r="AE15" i="9"/>
  <c r="AB15" i="9"/>
  <c r="Z15" i="9"/>
  <c r="Y15" i="9"/>
  <c r="W15" i="9"/>
  <c r="V15" i="9"/>
  <c r="T15" i="9"/>
  <c r="S15" i="9"/>
  <c r="P15" i="9"/>
  <c r="M15" i="9"/>
  <c r="J15" i="9"/>
  <c r="G15" i="9"/>
  <c r="AE14" i="9"/>
  <c r="AB14" i="9"/>
  <c r="Z14" i="9"/>
  <c r="Y14" i="9"/>
  <c r="W14" i="9"/>
  <c r="V14" i="9"/>
  <c r="T14" i="9"/>
  <c r="S14" i="9"/>
  <c r="P14" i="9"/>
  <c r="M14" i="9"/>
  <c r="J14" i="9"/>
  <c r="G14" i="9"/>
  <c r="AE13" i="9"/>
  <c r="AB13" i="9"/>
  <c r="Z13" i="9"/>
  <c r="Y13" i="9"/>
  <c r="W13" i="9"/>
  <c r="V13" i="9"/>
  <c r="T13" i="9"/>
  <c r="S13" i="9"/>
  <c r="S24" i="9" s="1"/>
  <c r="S26" i="9" s="1"/>
  <c r="P13" i="9"/>
  <c r="M13" i="9"/>
  <c r="J13" i="9"/>
  <c r="G13" i="9"/>
  <c r="AE12" i="9"/>
  <c r="AB12" i="9"/>
  <c r="Y12" i="9"/>
  <c r="W12" i="9"/>
  <c r="V12" i="9"/>
  <c r="T12" i="9"/>
  <c r="S12" i="9"/>
  <c r="Q12" i="9"/>
  <c r="P12" i="9"/>
  <c r="N12" i="9"/>
  <c r="M12" i="9"/>
  <c r="K12" i="9"/>
  <c r="J12" i="9"/>
  <c r="H12" i="9"/>
  <c r="G12" i="9"/>
  <c r="AE11" i="9"/>
  <c r="AB11" i="9"/>
  <c r="F11" i="9"/>
  <c r="AE10" i="9"/>
  <c r="AB10" i="9"/>
  <c r="Y10" i="9"/>
  <c r="V10" i="9"/>
  <c r="S10" i="9"/>
  <c r="P10" i="9"/>
  <c r="M10" i="9"/>
  <c r="J10" i="9"/>
  <c r="F10" i="9"/>
  <c r="AE9" i="9"/>
  <c r="AB9" i="9"/>
  <c r="Z9" i="9"/>
  <c r="Y9" i="9"/>
  <c r="W9" i="9"/>
  <c r="V9" i="9"/>
  <c r="T9" i="9"/>
  <c r="S9" i="9"/>
  <c r="Q9" i="9"/>
  <c r="P9" i="9"/>
  <c r="N9" i="9"/>
  <c r="M9" i="9"/>
  <c r="K9" i="9"/>
  <c r="J9" i="9"/>
  <c r="H9" i="9"/>
  <c r="G9" i="9"/>
  <c r="H202" i="22" l="1"/>
  <c r="H196" i="22"/>
  <c r="H215" i="22"/>
  <c r="I215" i="22"/>
  <c r="J215" i="22"/>
  <c r="K215" i="22"/>
  <c r="L215" i="22"/>
  <c r="K78" i="22" l="1"/>
  <c r="J78" i="22"/>
  <c r="K81" i="22"/>
  <c r="J81" i="22"/>
  <c r="K83" i="22"/>
  <c r="J83" i="22"/>
  <c r="K84" i="22"/>
  <c r="J84" i="22"/>
  <c r="K85" i="22"/>
  <c r="J85" i="22"/>
  <c r="K86" i="22"/>
  <c r="J86" i="22"/>
  <c r="K88" i="22"/>
  <c r="J88" i="22"/>
  <c r="K90" i="22"/>
  <c r="J90" i="22"/>
  <c r="K91" i="22"/>
  <c r="J91" i="22"/>
  <c r="K92" i="22"/>
  <c r="J92" i="22"/>
  <c r="K94" i="22"/>
  <c r="J94" i="22"/>
  <c r="K133" i="22" l="1"/>
  <c r="J133" i="22"/>
  <c r="K123" i="22" l="1"/>
  <c r="K118" i="22"/>
  <c r="K102" i="22"/>
  <c r="K101" i="22" s="1"/>
  <c r="J103" i="22"/>
  <c r="K107" i="22"/>
  <c r="J107" i="22"/>
  <c r="K108" i="22"/>
  <c r="J108" i="22"/>
  <c r="K110" i="22"/>
  <c r="J110" i="22"/>
  <c r="J109" i="22" s="1"/>
  <c r="K111" i="22"/>
  <c r="K113" i="22"/>
  <c r="J113" i="22"/>
  <c r="K114" i="22"/>
  <c r="J114" i="22"/>
  <c r="K115" i="22"/>
  <c r="J115" i="22"/>
  <c r="K116" i="22"/>
  <c r="J116" i="22"/>
  <c r="K119" i="22"/>
  <c r="J119" i="22"/>
  <c r="K120" i="22"/>
  <c r="K121" i="22"/>
  <c r="J121" i="22"/>
  <c r="K124" i="22"/>
  <c r="J124" i="22"/>
  <c r="J122" i="22" s="1"/>
  <c r="J105" i="22" l="1"/>
  <c r="K105" i="22"/>
  <c r="K112" i="22"/>
  <c r="K117" i="22"/>
  <c r="J117" i="22"/>
  <c r="J112" i="22"/>
  <c r="K109" i="22"/>
  <c r="K122" i="22"/>
  <c r="J104" i="22" l="1"/>
  <c r="K104" i="22"/>
  <c r="K100" i="22" s="1"/>
  <c r="K99" i="22" s="1"/>
  <c r="H122" i="22"/>
  <c r="H117" i="22"/>
  <c r="H112" i="22"/>
  <c r="I64" i="22"/>
  <c r="H64" i="22"/>
  <c r="H51" i="22"/>
  <c r="H47" i="22"/>
  <c r="I51" i="22"/>
  <c r="I47" i="22"/>
  <c r="I104" i="22" l="1"/>
  <c r="H89" i="22"/>
  <c r="H158" i="22" l="1"/>
  <c r="E16" i="7" l="1"/>
  <c r="F16" i="7" s="1"/>
  <c r="G16" i="7" s="1"/>
  <c r="E15" i="7"/>
  <c r="F15" i="7" s="1"/>
  <c r="G15" i="7" s="1"/>
  <c r="E13" i="7"/>
  <c r="F13" i="7" s="1"/>
  <c r="G13" i="7" s="1"/>
  <c r="E12" i="7"/>
  <c r="F12" i="7" s="1"/>
  <c r="G12" i="7" s="1"/>
  <c r="E11" i="7"/>
  <c r="F11" i="7" s="1"/>
  <c r="G11" i="7" s="1"/>
  <c r="E9" i="7"/>
  <c r="E8" i="7"/>
  <c r="F8" i="7" s="1"/>
  <c r="G8" i="7" s="1"/>
  <c r="I427" i="22"/>
  <c r="I426" i="22" s="1"/>
  <c r="I425" i="22" s="1"/>
  <c r="I423" i="22" s="1"/>
  <c r="H427" i="22"/>
  <c r="H426" i="22" s="1"/>
  <c r="H425" i="22" s="1"/>
  <c r="H423" i="22" s="1"/>
  <c r="J427" i="22"/>
  <c r="J426" i="22" s="1"/>
  <c r="J425" i="22" s="1"/>
  <c r="J423" i="22" s="1"/>
  <c r="K427" i="22"/>
  <c r="K426" i="22" s="1"/>
  <c r="K425" i="22" s="1"/>
  <c r="K423" i="22" s="1"/>
  <c r="L427" i="22"/>
  <c r="L426" i="22" s="1"/>
  <c r="L425" i="22" s="1"/>
  <c r="L423" i="22" s="1"/>
  <c r="F9" i="7" l="1"/>
  <c r="G9" i="7" s="1"/>
  <c r="L468" i="22"/>
  <c r="L467" i="22" s="1"/>
  <c r="L466" i="22" s="1"/>
  <c r="L465" i="22" s="1"/>
  <c r="L463" i="22" s="1"/>
  <c r="L461" i="22" s="1"/>
  <c r="L459" i="22" s="1"/>
  <c r="K468" i="22"/>
  <c r="K467" i="22" s="1"/>
  <c r="K466" i="22" s="1"/>
  <c r="K465" i="22" s="1"/>
  <c r="K463" i="22" s="1"/>
  <c r="K461" i="22" s="1"/>
  <c r="K459" i="22" s="1"/>
  <c r="I468" i="22"/>
  <c r="I467" i="22" s="1"/>
  <c r="I466" i="22" s="1"/>
  <c r="I465" i="22" s="1"/>
  <c r="I463" i="22" s="1"/>
  <c r="I461" i="22" s="1"/>
  <c r="H468" i="22"/>
  <c r="H467" i="22" s="1"/>
  <c r="H466" i="22" s="1"/>
  <c r="H465" i="22" s="1"/>
  <c r="H463" i="22" s="1"/>
  <c r="H461" i="22" s="1"/>
  <c r="H459" i="22" s="1"/>
  <c r="J468" i="22"/>
  <c r="J467" i="22" s="1"/>
  <c r="J466" i="22" s="1"/>
  <c r="J465" i="22" s="1"/>
  <c r="J463" i="22" s="1"/>
  <c r="J461" i="22" s="1"/>
  <c r="J459" i="22" s="1"/>
  <c r="F461" i="22"/>
  <c r="E459" i="22"/>
  <c r="L457" i="22"/>
  <c r="L456" i="22" s="1"/>
  <c r="L455" i="22" s="1"/>
  <c r="L454" i="22" s="1"/>
  <c r="L452" i="22" s="1"/>
  <c r="L450" i="22" s="1"/>
  <c r="K457" i="22"/>
  <c r="K456" i="22" s="1"/>
  <c r="K455" i="22" s="1"/>
  <c r="K454" i="22" s="1"/>
  <c r="K452" i="22" s="1"/>
  <c r="K450" i="22" s="1"/>
  <c r="J457" i="22"/>
  <c r="J456" i="22" s="1"/>
  <c r="J455" i="22" s="1"/>
  <c r="J454" i="22" s="1"/>
  <c r="J452" i="22" s="1"/>
  <c r="J450" i="22" s="1"/>
  <c r="I457" i="22"/>
  <c r="I456" i="22" s="1"/>
  <c r="I455" i="22" s="1"/>
  <c r="I454" i="22" s="1"/>
  <c r="I452" i="22" s="1"/>
  <c r="I450" i="22" s="1"/>
  <c r="H53" i="1" s="1"/>
  <c r="H457" i="22"/>
  <c r="H456" i="22" s="1"/>
  <c r="H455" i="22" s="1"/>
  <c r="H454" i="22" s="1"/>
  <c r="H452" i="22" s="1"/>
  <c r="H450" i="22" s="1"/>
  <c r="G53" i="1" s="1"/>
  <c r="F450" i="22"/>
  <c r="L448" i="22"/>
  <c r="K448" i="22"/>
  <c r="H448" i="22"/>
  <c r="L446" i="22"/>
  <c r="K446" i="22"/>
  <c r="F439" i="22"/>
  <c r="L437" i="22"/>
  <c r="L436" i="22" s="1"/>
  <c r="L435" i="22" s="1"/>
  <c r="L434" i="22" s="1"/>
  <c r="L432" i="22" s="1"/>
  <c r="L430" i="22" s="1"/>
  <c r="K437" i="22"/>
  <c r="K436" i="22" s="1"/>
  <c r="K435" i="22" s="1"/>
  <c r="K434" i="22" s="1"/>
  <c r="K432" i="22" s="1"/>
  <c r="J437" i="22"/>
  <c r="J436" i="22" s="1"/>
  <c r="J435" i="22" s="1"/>
  <c r="J434" i="22" s="1"/>
  <c r="J432" i="22" s="1"/>
  <c r="J430" i="22" s="1"/>
  <c r="I437" i="22"/>
  <c r="I436" i="22" s="1"/>
  <c r="I435" i="22" s="1"/>
  <c r="I434" i="22" s="1"/>
  <c r="I432" i="22" s="1"/>
  <c r="I430" i="22" s="1"/>
  <c r="H51" i="1" s="1"/>
  <c r="H437" i="22"/>
  <c r="H436" i="22" s="1"/>
  <c r="H435" i="22" s="1"/>
  <c r="H434" i="22" s="1"/>
  <c r="H432" i="22" s="1"/>
  <c r="H430" i="22" s="1"/>
  <c r="G51" i="1" s="1"/>
  <c r="F430" i="22"/>
  <c r="K421" i="22"/>
  <c r="J421" i="22"/>
  <c r="M50" i="1" s="1"/>
  <c r="I421" i="22"/>
  <c r="H421" i="22"/>
  <c r="L421" i="22"/>
  <c r="F421" i="22"/>
  <c r="E419" i="22"/>
  <c r="K397" i="22"/>
  <c r="K396" i="22" s="1"/>
  <c r="K395" i="22" s="1"/>
  <c r="K394" i="22" s="1"/>
  <c r="K392" i="22" s="1"/>
  <c r="K390" i="22" s="1"/>
  <c r="J397" i="22"/>
  <c r="J396" i="22" s="1"/>
  <c r="J395" i="22" s="1"/>
  <c r="J394" i="22" s="1"/>
  <c r="J392" i="22" s="1"/>
  <c r="J390" i="22" s="1"/>
  <c r="I397" i="22"/>
  <c r="I396" i="22" s="1"/>
  <c r="I395" i="22" s="1"/>
  <c r="I394" i="22" s="1"/>
  <c r="I392" i="22" s="1"/>
  <c r="I390" i="22" s="1"/>
  <c r="L397" i="22"/>
  <c r="L396" i="22" s="1"/>
  <c r="L395" i="22" s="1"/>
  <c r="L394" i="22" s="1"/>
  <c r="L392" i="22" s="1"/>
  <c r="L390" i="22" s="1"/>
  <c r="H397" i="22"/>
  <c r="H396" i="22" s="1"/>
  <c r="H395" i="22" s="1"/>
  <c r="H394" i="22" s="1"/>
  <c r="H392" i="22" s="1"/>
  <c r="H390" i="22" s="1"/>
  <c r="G45" i="1" s="1"/>
  <c r="L388" i="22"/>
  <c r="L387" i="22" s="1"/>
  <c r="L386" i="22" s="1"/>
  <c r="L385" i="22" s="1"/>
  <c r="L383" i="22" s="1"/>
  <c r="L381" i="22" s="1"/>
  <c r="I388" i="22"/>
  <c r="I387" i="22" s="1"/>
  <c r="I386" i="22" s="1"/>
  <c r="I385" i="22" s="1"/>
  <c r="I383" i="22" s="1"/>
  <c r="I381" i="22" s="1"/>
  <c r="H388" i="22"/>
  <c r="H387" i="22" s="1"/>
  <c r="H386" i="22" s="1"/>
  <c r="H385" i="22" s="1"/>
  <c r="H383" i="22" s="1"/>
  <c r="H381" i="22" s="1"/>
  <c r="K388" i="22"/>
  <c r="K387" i="22" s="1"/>
  <c r="K386" i="22" s="1"/>
  <c r="K385" i="22" s="1"/>
  <c r="K383" i="22" s="1"/>
  <c r="K381" i="22" s="1"/>
  <c r="J388" i="22"/>
  <c r="J387" i="22" s="1"/>
  <c r="J386" i="22" s="1"/>
  <c r="J385" i="22" s="1"/>
  <c r="J383" i="22" s="1"/>
  <c r="J381" i="22" s="1"/>
  <c r="F381" i="22"/>
  <c r="K379" i="22"/>
  <c r="K378" i="22" s="1"/>
  <c r="K377" i="22" s="1"/>
  <c r="K375" i="22" s="1"/>
  <c r="K373" i="22" s="1"/>
  <c r="I379" i="22"/>
  <c r="I378" i="22" s="1"/>
  <c r="I377" i="22" s="1"/>
  <c r="I375" i="22" s="1"/>
  <c r="I373" i="22" s="1"/>
  <c r="H43" i="1" s="1"/>
  <c r="L379" i="22"/>
  <c r="L378" i="22" s="1"/>
  <c r="L377" i="22" s="1"/>
  <c r="L375" i="22" s="1"/>
  <c r="L373" i="22" s="1"/>
  <c r="J379" i="22"/>
  <c r="J378" i="22" s="1"/>
  <c r="J377" i="22" s="1"/>
  <c r="J375" i="22" s="1"/>
  <c r="J373" i="22" s="1"/>
  <c r="H379" i="22"/>
  <c r="H378" i="22" s="1"/>
  <c r="H377" i="22" s="1"/>
  <c r="H375" i="22" s="1"/>
  <c r="H373" i="22" s="1"/>
  <c r="G43" i="1" s="1"/>
  <c r="F373" i="22"/>
  <c r="L371" i="22"/>
  <c r="L370" i="22" s="1"/>
  <c r="L369" i="22" s="1"/>
  <c r="L368" i="22" s="1"/>
  <c r="L366" i="22" s="1"/>
  <c r="L364" i="22" s="1"/>
  <c r="J371" i="22"/>
  <c r="J370" i="22" s="1"/>
  <c r="J369" i="22" s="1"/>
  <c r="J368" i="22" s="1"/>
  <c r="J366" i="22" s="1"/>
  <c r="J364" i="22" s="1"/>
  <c r="I371" i="22"/>
  <c r="I370" i="22" s="1"/>
  <c r="I369" i="22" s="1"/>
  <c r="I368" i="22" s="1"/>
  <c r="I366" i="22" s="1"/>
  <c r="I364" i="22" s="1"/>
  <c r="H42" i="1" s="1"/>
  <c r="H371" i="22"/>
  <c r="H370" i="22" s="1"/>
  <c r="H369" i="22" s="1"/>
  <c r="H368" i="22" s="1"/>
  <c r="H366" i="22" s="1"/>
  <c r="H364" i="22" s="1"/>
  <c r="G42" i="1" s="1"/>
  <c r="K371" i="22"/>
  <c r="K370" i="22" s="1"/>
  <c r="K369" i="22" s="1"/>
  <c r="K368" i="22" s="1"/>
  <c r="K366" i="22" s="1"/>
  <c r="K364" i="22" s="1"/>
  <c r="F364" i="22"/>
  <c r="L362" i="22"/>
  <c r="L361" i="22" s="1"/>
  <c r="L360" i="22" s="1"/>
  <c r="L359" i="22" s="1"/>
  <c r="L357" i="22" s="1"/>
  <c r="L355" i="22" s="1"/>
  <c r="J362" i="22"/>
  <c r="J361" i="22" s="1"/>
  <c r="J360" i="22" s="1"/>
  <c r="J359" i="22" s="1"/>
  <c r="J357" i="22" s="1"/>
  <c r="J355" i="22" s="1"/>
  <c r="H362" i="22"/>
  <c r="H361" i="22" s="1"/>
  <c r="H360" i="22" s="1"/>
  <c r="H359" i="22" s="1"/>
  <c r="H357" i="22" s="1"/>
  <c r="H355" i="22" s="1"/>
  <c r="G41" i="1" s="1"/>
  <c r="K362" i="22"/>
  <c r="K361" i="22" s="1"/>
  <c r="K360" i="22" s="1"/>
  <c r="K359" i="22" s="1"/>
  <c r="K357" i="22" s="1"/>
  <c r="K355" i="22" s="1"/>
  <c r="I362" i="22"/>
  <c r="I361" i="22" s="1"/>
  <c r="I360" i="22" s="1"/>
  <c r="I359" i="22" s="1"/>
  <c r="I357" i="22" s="1"/>
  <c r="I355" i="22" s="1"/>
  <c r="H41" i="1" s="1"/>
  <c r="K353" i="22"/>
  <c r="K352" i="22" s="1"/>
  <c r="K351" i="22" s="1"/>
  <c r="K350" i="22" s="1"/>
  <c r="K348" i="22" s="1"/>
  <c r="K346" i="22" s="1"/>
  <c r="I353" i="22"/>
  <c r="I352" i="22" s="1"/>
  <c r="I351" i="22" s="1"/>
  <c r="I350" i="22" s="1"/>
  <c r="I348" i="22" s="1"/>
  <c r="I346" i="22" s="1"/>
  <c r="H40" i="1" s="1"/>
  <c r="L353" i="22"/>
  <c r="L352" i="22" s="1"/>
  <c r="L351" i="22" s="1"/>
  <c r="L350" i="22" s="1"/>
  <c r="L348" i="22" s="1"/>
  <c r="L346" i="22" s="1"/>
  <c r="J353" i="22"/>
  <c r="J352" i="22" s="1"/>
  <c r="J351" i="22" s="1"/>
  <c r="J350" i="22" s="1"/>
  <c r="J348" i="22" s="1"/>
  <c r="J346" i="22" s="1"/>
  <c r="H353" i="22"/>
  <c r="H352" i="22" s="1"/>
  <c r="H351" i="22" s="1"/>
  <c r="H350" i="22" s="1"/>
  <c r="H348" i="22" s="1"/>
  <c r="H346" i="22" s="1"/>
  <c r="G40" i="1" s="1"/>
  <c r="F346" i="22"/>
  <c r="K344" i="22"/>
  <c r="K343" i="22" s="1"/>
  <c r="K342" i="22" s="1"/>
  <c r="K341" i="22" s="1"/>
  <c r="K339" i="22" s="1"/>
  <c r="K337" i="22" s="1"/>
  <c r="I344" i="22"/>
  <c r="I343" i="22" s="1"/>
  <c r="I342" i="22" s="1"/>
  <c r="I341" i="22" s="1"/>
  <c r="I339" i="22" s="1"/>
  <c r="I337" i="22" s="1"/>
  <c r="H39" i="1" s="1"/>
  <c r="L344" i="22"/>
  <c r="L343" i="22" s="1"/>
  <c r="L342" i="22" s="1"/>
  <c r="L341" i="22" s="1"/>
  <c r="L339" i="22" s="1"/>
  <c r="L337" i="22" s="1"/>
  <c r="J344" i="22"/>
  <c r="J343" i="22" s="1"/>
  <c r="J342" i="22" s="1"/>
  <c r="J341" i="22" s="1"/>
  <c r="J339" i="22" s="1"/>
  <c r="J337" i="22" s="1"/>
  <c r="H344" i="22"/>
  <c r="H343" i="22" s="1"/>
  <c r="H342" i="22" s="1"/>
  <c r="H341" i="22" s="1"/>
  <c r="H339" i="22" s="1"/>
  <c r="H337" i="22" s="1"/>
  <c r="G39" i="1" s="1"/>
  <c r="F337" i="22"/>
  <c r="K335" i="22"/>
  <c r="K334" i="22" s="1"/>
  <c r="K333" i="22" s="1"/>
  <c r="K332" i="22" s="1"/>
  <c r="K330" i="22" s="1"/>
  <c r="K328" i="22" s="1"/>
  <c r="I335" i="22"/>
  <c r="I334" i="22" s="1"/>
  <c r="I333" i="22" s="1"/>
  <c r="I332" i="22" s="1"/>
  <c r="I330" i="22" s="1"/>
  <c r="I328" i="22" s="1"/>
  <c r="H38" i="1" s="1"/>
  <c r="L335" i="22"/>
  <c r="L334" i="22" s="1"/>
  <c r="L333" i="22" s="1"/>
  <c r="L332" i="22" s="1"/>
  <c r="L330" i="22" s="1"/>
  <c r="L328" i="22" s="1"/>
  <c r="J335" i="22"/>
  <c r="J334" i="22" s="1"/>
  <c r="J333" i="22" s="1"/>
  <c r="J332" i="22" s="1"/>
  <c r="J330" i="22" s="1"/>
  <c r="J328" i="22" s="1"/>
  <c r="H335" i="22"/>
  <c r="H334" i="22" s="1"/>
  <c r="H333" i="22" s="1"/>
  <c r="H332" i="22" s="1"/>
  <c r="H330" i="22" s="1"/>
  <c r="H328" i="22" s="1"/>
  <c r="G38" i="1" s="1"/>
  <c r="F328" i="22"/>
  <c r="K326" i="22"/>
  <c r="K325" i="22" s="1"/>
  <c r="K324" i="22" s="1"/>
  <c r="K323" i="22" s="1"/>
  <c r="K321" i="22" s="1"/>
  <c r="K319" i="22" s="1"/>
  <c r="I326" i="22"/>
  <c r="I325" i="22" s="1"/>
  <c r="I324" i="22" s="1"/>
  <c r="I323" i="22" s="1"/>
  <c r="I321" i="22" s="1"/>
  <c r="I319" i="22" s="1"/>
  <c r="H37" i="1" s="1"/>
  <c r="L326" i="22"/>
  <c r="L325" i="22" s="1"/>
  <c r="L324" i="22" s="1"/>
  <c r="L323" i="22" s="1"/>
  <c r="L321" i="22" s="1"/>
  <c r="L319" i="22" s="1"/>
  <c r="J326" i="22"/>
  <c r="J325" i="22" s="1"/>
  <c r="J324" i="22" s="1"/>
  <c r="J323" i="22" s="1"/>
  <c r="J321" i="22" s="1"/>
  <c r="J319" i="22" s="1"/>
  <c r="H326" i="22"/>
  <c r="H325" i="22" s="1"/>
  <c r="H324" i="22" s="1"/>
  <c r="H323" i="22" s="1"/>
  <c r="H321" i="22" s="1"/>
  <c r="H319" i="22" s="1"/>
  <c r="G37" i="1" s="1"/>
  <c r="F319" i="22"/>
  <c r="L317" i="22"/>
  <c r="L316" i="22" s="1"/>
  <c r="L315" i="22" s="1"/>
  <c r="L313" i="22" s="1"/>
  <c r="L311" i="22" s="1"/>
  <c r="K317" i="22"/>
  <c r="K316" i="22" s="1"/>
  <c r="K315" i="22" s="1"/>
  <c r="K313" i="22" s="1"/>
  <c r="K311" i="22" s="1"/>
  <c r="I317" i="22"/>
  <c r="I316" i="22" s="1"/>
  <c r="I315" i="22" s="1"/>
  <c r="I313" i="22" s="1"/>
  <c r="I311" i="22" s="1"/>
  <c r="H36" i="1" s="1"/>
  <c r="J317" i="22"/>
  <c r="J316" i="22" s="1"/>
  <c r="J315" i="22" s="1"/>
  <c r="J313" i="22" s="1"/>
  <c r="J311" i="22" s="1"/>
  <c r="H317" i="22"/>
  <c r="H316" i="22" s="1"/>
  <c r="H315" i="22" s="1"/>
  <c r="H313" i="22" s="1"/>
  <c r="H311" i="22" s="1"/>
  <c r="G36" i="1" s="1"/>
  <c r="F311" i="22"/>
  <c r="L309" i="22"/>
  <c r="L308" i="22" s="1"/>
  <c r="L307" i="22" s="1"/>
  <c r="L305" i="22" s="1"/>
  <c r="L303" i="22" s="1"/>
  <c r="J309" i="22"/>
  <c r="J308" i="22" s="1"/>
  <c r="J307" i="22" s="1"/>
  <c r="J305" i="22" s="1"/>
  <c r="J303" i="22" s="1"/>
  <c r="I309" i="22"/>
  <c r="I308" i="22" s="1"/>
  <c r="I307" i="22" s="1"/>
  <c r="I305" i="22" s="1"/>
  <c r="I303" i="22" s="1"/>
  <c r="H309" i="22"/>
  <c r="H308" i="22" s="1"/>
  <c r="H307" i="22" s="1"/>
  <c r="H305" i="22" s="1"/>
  <c r="H303" i="22" s="1"/>
  <c r="K309" i="22"/>
  <c r="K308" i="22" s="1"/>
  <c r="K307" i="22" s="1"/>
  <c r="K305" i="22" s="1"/>
  <c r="K303" i="22" s="1"/>
  <c r="E301" i="22"/>
  <c r="L299" i="22"/>
  <c r="L298" i="22" s="1"/>
  <c r="L297" i="22" s="1"/>
  <c r="L296" i="22" s="1"/>
  <c r="L294" i="22" s="1"/>
  <c r="L292" i="22" s="1"/>
  <c r="L290" i="22" s="1"/>
  <c r="J299" i="22"/>
  <c r="J298" i="22" s="1"/>
  <c r="J297" i="22" s="1"/>
  <c r="J296" i="22" s="1"/>
  <c r="J294" i="22" s="1"/>
  <c r="J292" i="22" s="1"/>
  <c r="J290" i="22" s="1"/>
  <c r="H299" i="22"/>
  <c r="H298" i="22" s="1"/>
  <c r="H297" i="22" s="1"/>
  <c r="H296" i="22" s="1"/>
  <c r="H294" i="22" s="1"/>
  <c r="H292" i="22" s="1"/>
  <c r="H290" i="22" s="1"/>
  <c r="K299" i="22"/>
  <c r="K298" i="22" s="1"/>
  <c r="K297" i="22" s="1"/>
  <c r="K296" i="22" s="1"/>
  <c r="K294" i="22" s="1"/>
  <c r="K292" i="22" s="1"/>
  <c r="K290" i="22" s="1"/>
  <c r="I299" i="22"/>
  <c r="I298" i="22" s="1"/>
  <c r="I297" i="22" s="1"/>
  <c r="I296" i="22" s="1"/>
  <c r="I294" i="22" s="1"/>
  <c r="I292" i="22" s="1"/>
  <c r="I290" i="22" s="1"/>
  <c r="F292" i="22"/>
  <c r="E290" i="22"/>
  <c r="L267" i="22"/>
  <c r="L266" i="22" s="1"/>
  <c r="L265" i="22" s="1"/>
  <c r="L264" i="22" s="1"/>
  <c r="L262" i="22" s="1"/>
  <c r="L260" i="22" s="1"/>
  <c r="I267" i="22"/>
  <c r="I266" i="22" s="1"/>
  <c r="I265" i="22" s="1"/>
  <c r="I264" i="22" s="1"/>
  <c r="I262" i="22" s="1"/>
  <c r="I260" i="22" s="1"/>
  <c r="H29" i="1" s="1"/>
  <c r="H267" i="22"/>
  <c r="H266" i="22" s="1"/>
  <c r="H265" i="22" s="1"/>
  <c r="H264" i="22" s="1"/>
  <c r="H262" i="22" s="1"/>
  <c r="H260" i="22" s="1"/>
  <c r="G29" i="1" s="1"/>
  <c r="E21" i="8" s="1"/>
  <c r="D21" i="8" s="1"/>
  <c r="K267" i="22"/>
  <c r="K266" i="22" s="1"/>
  <c r="K265" i="22" s="1"/>
  <c r="K264" i="22" s="1"/>
  <c r="K262" i="22" s="1"/>
  <c r="K260" i="22" s="1"/>
  <c r="J267" i="22"/>
  <c r="J266" i="22" s="1"/>
  <c r="J265" i="22" s="1"/>
  <c r="J264" i="22" s="1"/>
  <c r="J262" i="22" s="1"/>
  <c r="J260" i="22" s="1"/>
  <c r="F260" i="22"/>
  <c r="L211" i="22"/>
  <c r="K211" i="22"/>
  <c r="J211" i="22"/>
  <c r="I211" i="22"/>
  <c r="H211" i="22"/>
  <c r="L209" i="22"/>
  <c r="K209" i="22"/>
  <c r="J209" i="22"/>
  <c r="I209" i="22"/>
  <c r="H209" i="22"/>
  <c r="L204" i="22"/>
  <c r="K204" i="22"/>
  <c r="J204" i="22"/>
  <c r="I204" i="22"/>
  <c r="H204" i="22"/>
  <c r="L202" i="22"/>
  <c r="K202" i="22"/>
  <c r="J202" i="22"/>
  <c r="I202" i="22"/>
  <c r="L196" i="22"/>
  <c r="K196" i="22"/>
  <c r="J196" i="22"/>
  <c r="I196" i="22"/>
  <c r="L192" i="22"/>
  <c r="L191" i="22" s="1"/>
  <c r="K192" i="22"/>
  <c r="K191" i="22" s="1"/>
  <c r="J192" i="22"/>
  <c r="J191" i="22" s="1"/>
  <c r="I192" i="22"/>
  <c r="I191" i="22" s="1"/>
  <c r="H192" i="22"/>
  <c r="H191" i="22" s="1"/>
  <c r="F185" i="22"/>
  <c r="J183" i="22"/>
  <c r="I183" i="22"/>
  <c r="H183" i="22"/>
  <c r="J178" i="22"/>
  <c r="H178" i="22"/>
  <c r="J175" i="22"/>
  <c r="J167" i="22"/>
  <c r="J164" i="22"/>
  <c r="I164" i="22"/>
  <c r="H164" i="22"/>
  <c r="J158" i="22"/>
  <c r="J152" i="22"/>
  <c r="I152" i="22"/>
  <c r="I151" i="22" s="1"/>
  <c r="H151" i="22"/>
  <c r="F145" i="22"/>
  <c r="E143" i="22"/>
  <c r="G23" i="1"/>
  <c r="K132" i="22"/>
  <c r="K131" i="22" s="1"/>
  <c r="K130" i="22" s="1"/>
  <c r="K129" i="22" s="1"/>
  <c r="K127" i="22" s="1"/>
  <c r="K125" i="22" s="1"/>
  <c r="J132" i="22"/>
  <c r="J131" i="22" s="1"/>
  <c r="J130" i="22" s="1"/>
  <c r="J129" i="22" s="1"/>
  <c r="J127" i="22" s="1"/>
  <c r="J125" i="22" s="1"/>
  <c r="H132" i="22"/>
  <c r="H131" i="22" s="1"/>
  <c r="H130" i="22" s="1"/>
  <c r="H129" i="22" s="1"/>
  <c r="H127" i="22" s="1"/>
  <c r="H125" i="22" s="1"/>
  <c r="L132" i="22"/>
  <c r="L131" i="22" s="1"/>
  <c r="L130" i="22" s="1"/>
  <c r="L129" i="22" s="1"/>
  <c r="L127" i="22" s="1"/>
  <c r="L125" i="22" s="1"/>
  <c r="I132" i="22"/>
  <c r="I131" i="22" s="1"/>
  <c r="I130" i="22" s="1"/>
  <c r="I129" i="22" s="1"/>
  <c r="I127" i="22" s="1"/>
  <c r="I125" i="22" s="1"/>
  <c r="H22" i="1" s="1"/>
  <c r="U13" i="8" s="1"/>
  <c r="P13" i="8" s="1"/>
  <c r="L122" i="22"/>
  <c r="L117" i="22"/>
  <c r="L112" i="22"/>
  <c r="L109" i="22"/>
  <c r="H109" i="22"/>
  <c r="H104" i="22" s="1"/>
  <c r="L102" i="22"/>
  <c r="L101" i="22" s="1"/>
  <c r="J102" i="22"/>
  <c r="J101" i="22" s="1"/>
  <c r="J100" i="22" s="1"/>
  <c r="J99" i="22" s="1"/>
  <c r="J97" i="22" s="1"/>
  <c r="J95" i="22" s="1"/>
  <c r="I102" i="22"/>
  <c r="H102" i="22"/>
  <c r="H101" i="22" s="1"/>
  <c r="L93" i="22"/>
  <c r="K93" i="22"/>
  <c r="J93" i="22"/>
  <c r="I93" i="22"/>
  <c r="H93" i="22"/>
  <c r="L89" i="22"/>
  <c r="K89" i="22"/>
  <c r="J89" i="22"/>
  <c r="I89" i="22"/>
  <c r="L87" i="22"/>
  <c r="K87" i="22"/>
  <c r="J87" i="22"/>
  <c r="I87" i="22"/>
  <c r="H87" i="22"/>
  <c r="L82" i="22"/>
  <c r="K82" i="22"/>
  <c r="J82" i="22"/>
  <c r="I82" i="22"/>
  <c r="H82" i="22"/>
  <c r="L80" i="22"/>
  <c r="K80" i="22"/>
  <c r="J80" i="22"/>
  <c r="I80" i="22"/>
  <c r="H80" i="22"/>
  <c r="L77" i="22"/>
  <c r="L76" i="22" s="1"/>
  <c r="K77" i="22"/>
  <c r="K76" i="22" s="1"/>
  <c r="J77" i="22"/>
  <c r="J76" i="22" s="1"/>
  <c r="I77" i="22"/>
  <c r="I76" i="22" s="1"/>
  <c r="H77" i="22"/>
  <c r="H76" i="22" s="1"/>
  <c r="J68" i="22"/>
  <c r="I68" i="22"/>
  <c r="H68" i="22"/>
  <c r="H63" i="22" s="1"/>
  <c r="J64" i="22"/>
  <c r="J61" i="22"/>
  <c r="J60" i="22" s="1"/>
  <c r="I61" i="22"/>
  <c r="I60" i="22" s="1"/>
  <c r="H61" i="22"/>
  <c r="H60" i="22" s="1"/>
  <c r="L54" i="22"/>
  <c r="K54" i="22"/>
  <c r="I44" i="22"/>
  <c r="H44" i="22"/>
  <c r="H43" i="22" s="1"/>
  <c r="I41" i="22"/>
  <c r="I40" i="22" s="1"/>
  <c r="H41" i="22"/>
  <c r="H40" i="22" s="1"/>
  <c r="L40" i="22"/>
  <c r="L39" i="22" s="1"/>
  <c r="L38" i="22" s="1"/>
  <c r="L36" i="22" s="1"/>
  <c r="L34" i="22" s="1"/>
  <c r="K40" i="22"/>
  <c r="K39" i="22" s="1"/>
  <c r="K38" i="22" s="1"/>
  <c r="K36" i="22" s="1"/>
  <c r="K34" i="22" s="1"/>
  <c r="J40" i="22"/>
  <c r="J39" i="22" s="1"/>
  <c r="J38" i="22" s="1"/>
  <c r="J36" i="22" s="1"/>
  <c r="J34" i="22" s="1"/>
  <c r="L32" i="22"/>
  <c r="L31" i="22" s="1"/>
  <c r="L30" i="22" s="1"/>
  <c r="L29" i="22" s="1"/>
  <c r="L27" i="22" s="1"/>
  <c r="L25" i="22" s="1"/>
  <c r="I32" i="22"/>
  <c r="I31" i="22" s="1"/>
  <c r="I30" i="22" s="1"/>
  <c r="I29" i="22" s="1"/>
  <c r="I27" i="22" s="1"/>
  <c r="I25" i="22" s="1"/>
  <c r="H17" i="1" s="1"/>
  <c r="Q8" i="8" s="1"/>
  <c r="H32" i="22"/>
  <c r="H31" i="22" s="1"/>
  <c r="H30" i="22" s="1"/>
  <c r="H29" i="22" s="1"/>
  <c r="H27" i="22" s="1"/>
  <c r="K32" i="22"/>
  <c r="K31" i="22" s="1"/>
  <c r="K30" i="22" s="1"/>
  <c r="K29" i="22" s="1"/>
  <c r="K27" i="22" s="1"/>
  <c r="K25" i="22" s="1"/>
  <c r="J31" i="22"/>
  <c r="F25" i="22"/>
  <c r="L22" i="22"/>
  <c r="L21" i="22" s="1"/>
  <c r="L19" i="22" s="1"/>
  <c r="L17" i="22" s="1"/>
  <c r="K22" i="22"/>
  <c r="K21" i="22" s="1"/>
  <c r="K19" i="22" s="1"/>
  <c r="K17" i="22" s="1"/>
  <c r="J22" i="22"/>
  <c r="J21" i="22" s="1"/>
  <c r="J19" i="22" s="1"/>
  <c r="J17" i="22" s="1"/>
  <c r="I22" i="22"/>
  <c r="I21" i="22" s="1"/>
  <c r="I19" i="22" s="1"/>
  <c r="I17" i="22" s="1"/>
  <c r="H22" i="22"/>
  <c r="H21" i="22" s="1"/>
  <c r="H19" i="22" s="1"/>
  <c r="H17" i="22" s="1"/>
  <c r="G7" i="22"/>
  <c r="E6" i="22"/>
  <c r="J151" i="22" l="1"/>
  <c r="E15" i="8"/>
  <c r="D15" i="8" s="1"/>
  <c r="W31" i="8"/>
  <c r="P31" i="8" s="1"/>
  <c r="P26" i="8" s="1"/>
  <c r="P8" i="8"/>
  <c r="G35" i="1"/>
  <c r="H25" i="22"/>
  <c r="G17" i="1" s="1"/>
  <c r="E8" i="8" s="1"/>
  <c r="O17" i="1"/>
  <c r="L17" i="1"/>
  <c r="O37" i="1"/>
  <c r="L37" i="1"/>
  <c r="J51" i="1"/>
  <c r="M51" i="1"/>
  <c r="K17" i="1"/>
  <c r="N17" i="1"/>
  <c r="K430" i="22"/>
  <c r="N51" i="1" s="1"/>
  <c r="K51" i="1"/>
  <c r="N37" i="1"/>
  <c r="K37" i="1"/>
  <c r="O51" i="1"/>
  <c r="L51" i="1"/>
  <c r="M37" i="1"/>
  <c r="J37" i="1"/>
  <c r="G16" i="1"/>
  <c r="G50" i="1"/>
  <c r="H50" i="1"/>
  <c r="I459" i="22"/>
  <c r="H55" i="1" s="1"/>
  <c r="H54" i="1" s="1"/>
  <c r="H44" i="1"/>
  <c r="H34" i="1" s="1"/>
  <c r="J53" i="1"/>
  <c r="M53" i="1"/>
  <c r="J44" i="1"/>
  <c r="M44" i="1"/>
  <c r="O44" i="1"/>
  <c r="L44" i="1"/>
  <c r="K53" i="1"/>
  <c r="N53" i="1"/>
  <c r="G44" i="1"/>
  <c r="K44" i="1"/>
  <c r="N44" i="1"/>
  <c r="O53" i="1"/>
  <c r="L53" i="1"/>
  <c r="H16" i="1"/>
  <c r="M16" i="1"/>
  <c r="L16" i="1"/>
  <c r="N39" i="1"/>
  <c r="K39" i="1"/>
  <c r="M39" i="1"/>
  <c r="J39" i="1"/>
  <c r="AI31" i="8" s="1"/>
  <c r="O39" i="1"/>
  <c r="L39" i="1"/>
  <c r="J50" i="1"/>
  <c r="L50" i="1"/>
  <c r="O50" i="1"/>
  <c r="K50" i="1"/>
  <c r="N50" i="1"/>
  <c r="M41" i="1"/>
  <c r="J41" i="1"/>
  <c r="K41" i="1"/>
  <c r="N41" i="1"/>
  <c r="O41" i="1"/>
  <c r="L41" i="1"/>
  <c r="H33" i="1"/>
  <c r="H32" i="1" s="1"/>
  <c r="O33" i="1"/>
  <c r="O32" i="1" s="1"/>
  <c r="L33" i="1"/>
  <c r="L32" i="1" s="1"/>
  <c r="K38" i="1"/>
  <c r="N38" i="1"/>
  <c r="J29" i="1"/>
  <c r="AC21" i="8" s="1"/>
  <c r="AB21" i="8" s="1"/>
  <c r="M29" i="1"/>
  <c r="O29" i="1"/>
  <c r="L29" i="1"/>
  <c r="K33" i="1"/>
  <c r="K32" i="1" s="1"/>
  <c r="N33" i="1"/>
  <c r="N32" i="1" s="1"/>
  <c r="J38" i="1"/>
  <c r="M38" i="1"/>
  <c r="K29" i="1"/>
  <c r="N29" i="1"/>
  <c r="G33" i="1"/>
  <c r="G32" i="1" s="1"/>
  <c r="O38" i="1"/>
  <c r="L38" i="1"/>
  <c r="J33" i="1"/>
  <c r="J32" i="1" s="1"/>
  <c r="M33" i="1"/>
  <c r="M32" i="1" s="1"/>
  <c r="J23" i="1"/>
  <c r="M23" i="1"/>
  <c r="N23" i="1"/>
  <c r="K23" i="1"/>
  <c r="J30" i="22"/>
  <c r="J29" i="22" s="1"/>
  <c r="J27" i="22" s="1"/>
  <c r="J25" i="22" s="1"/>
  <c r="K55" i="1"/>
  <c r="K54" i="1" s="1"/>
  <c r="N55" i="1"/>
  <c r="N54" i="1" s="1"/>
  <c r="M55" i="1"/>
  <c r="M54" i="1" s="1"/>
  <c r="J55" i="1"/>
  <c r="J54" i="1" s="1"/>
  <c r="G55" i="1"/>
  <c r="G54" i="1" s="1"/>
  <c r="O55" i="1"/>
  <c r="O54" i="1" s="1"/>
  <c r="L55" i="1"/>
  <c r="L54" i="1" s="1"/>
  <c r="L36" i="1"/>
  <c r="O36" i="1"/>
  <c r="N40" i="1"/>
  <c r="K40" i="1"/>
  <c r="J36" i="1"/>
  <c r="M36" i="1"/>
  <c r="I36" i="1"/>
  <c r="M40" i="1"/>
  <c r="J40" i="1"/>
  <c r="N43" i="1"/>
  <c r="K43" i="1"/>
  <c r="L40" i="1"/>
  <c r="O40" i="1"/>
  <c r="M42" i="1"/>
  <c r="J42" i="1"/>
  <c r="M43" i="1"/>
  <c r="J43" i="1"/>
  <c r="K36" i="1"/>
  <c r="N36" i="1"/>
  <c r="K42" i="1"/>
  <c r="N42" i="1"/>
  <c r="L42" i="1"/>
  <c r="O42" i="1"/>
  <c r="L43" i="1"/>
  <c r="O43" i="1"/>
  <c r="M22" i="1"/>
  <c r="J22" i="1"/>
  <c r="AG13" i="8" s="1"/>
  <c r="AB13" i="8" s="1"/>
  <c r="N22" i="1"/>
  <c r="K22" i="1"/>
  <c r="H100" i="22"/>
  <c r="H99" i="22" s="1"/>
  <c r="I101" i="22"/>
  <c r="I100" i="22" s="1"/>
  <c r="I99" i="22" s="1"/>
  <c r="I97" i="22" s="1"/>
  <c r="I95" i="22" s="1"/>
  <c r="H21" i="1" s="1"/>
  <c r="U12" i="8" s="1"/>
  <c r="O16" i="1"/>
  <c r="J16" i="1"/>
  <c r="K16" i="1"/>
  <c r="N16" i="1"/>
  <c r="H59" i="22"/>
  <c r="H58" i="22" s="1"/>
  <c r="H56" i="22" s="1"/>
  <c r="H54" i="22" s="1"/>
  <c r="G19" i="1" s="1"/>
  <c r="E10" i="8" s="1"/>
  <c r="D10" i="8" s="1"/>
  <c r="H39" i="22"/>
  <c r="H38" i="22" s="1"/>
  <c r="H36" i="22" s="1"/>
  <c r="H34" i="22" s="1"/>
  <c r="G18" i="1" s="1"/>
  <c r="K445" i="22"/>
  <c r="K444" i="22" s="1"/>
  <c r="K443" i="22" s="1"/>
  <c r="K441" i="22" s="1"/>
  <c r="K439" i="22" s="1"/>
  <c r="H444" i="22"/>
  <c r="H443" i="22" s="1"/>
  <c r="H441" i="22" s="1"/>
  <c r="G52" i="1" s="1"/>
  <c r="J63" i="22"/>
  <c r="J59" i="22" s="1"/>
  <c r="J58" i="22" s="1"/>
  <c r="J56" i="22" s="1"/>
  <c r="J54" i="22" s="1"/>
  <c r="I444" i="22"/>
  <c r="I443" i="22" s="1"/>
  <c r="H52" i="1" s="1"/>
  <c r="K195" i="22"/>
  <c r="K190" i="22" s="1"/>
  <c r="K189" i="22" s="1"/>
  <c r="K187" i="22" s="1"/>
  <c r="K185" i="22" s="1"/>
  <c r="K143" i="22" s="1"/>
  <c r="J195" i="22"/>
  <c r="J190" i="22" s="1"/>
  <c r="J189" i="22" s="1"/>
  <c r="J187" i="22" s="1"/>
  <c r="J185" i="22" s="1"/>
  <c r="J157" i="22"/>
  <c r="I157" i="22"/>
  <c r="I150" i="22" s="1"/>
  <c r="I149" i="22" s="1"/>
  <c r="I147" i="22" s="1"/>
  <c r="I145" i="22" s="1"/>
  <c r="J79" i="22"/>
  <c r="J75" i="22" s="1"/>
  <c r="J74" i="22" s="1"/>
  <c r="J72" i="22" s="1"/>
  <c r="J70" i="22" s="1"/>
  <c r="K79" i="22"/>
  <c r="K75" i="22" s="1"/>
  <c r="K74" i="22" s="1"/>
  <c r="K72" i="22" s="1"/>
  <c r="K70" i="22" s="1"/>
  <c r="K6" i="22" s="1"/>
  <c r="I63" i="22"/>
  <c r="I59" i="22" s="1"/>
  <c r="I58" i="22" s="1"/>
  <c r="I56" i="22" s="1"/>
  <c r="I54" i="22" s="1"/>
  <c r="H19" i="1" s="1"/>
  <c r="I43" i="22"/>
  <c r="I39" i="22" s="1"/>
  <c r="I38" i="22" s="1"/>
  <c r="I36" i="22" s="1"/>
  <c r="I34" i="22" s="1"/>
  <c r="H79" i="22"/>
  <c r="H75" i="22" s="1"/>
  <c r="H74" i="22" s="1"/>
  <c r="H72" i="22" s="1"/>
  <c r="H70" i="22" s="1"/>
  <c r="G20" i="1" s="1"/>
  <c r="E11" i="8" s="1"/>
  <c r="D11" i="8" s="1"/>
  <c r="L79" i="22"/>
  <c r="L75" i="22" s="1"/>
  <c r="L74" i="22" s="1"/>
  <c r="L72" i="22" s="1"/>
  <c r="L70" i="22" s="1"/>
  <c r="I195" i="22"/>
  <c r="I190" i="22" s="1"/>
  <c r="I189" i="22" s="1"/>
  <c r="I187" i="22" s="1"/>
  <c r="I185" i="22" s="1"/>
  <c r="H26" i="1" s="1"/>
  <c r="Q18" i="8" s="1"/>
  <c r="P18" i="8" s="1"/>
  <c r="J444" i="22"/>
  <c r="J443" i="22" s="1"/>
  <c r="I79" i="22"/>
  <c r="I75" i="22" s="1"/>
  <c r="I74" i="22" s="1"/>
  <c r="I72" i="22" s="1"/>
  <c r="I70" i="22" s="1"/>
  <c r="H20" i="1" s="1"/>
  <c r="Q11" i="8" s="1"/>
  <c r="P11" i="8" s="1"/>
  <c r="L104" i="22"/>
  <c r="L100" i="22" s="1"/>
  <c r="L99" i="22" s="1"/>
  <c r="L97" i="22" s="1"/>
  <c r="L95" i="22" s="1"/>
  <c r="H157" i="22"/>
  <c r="H150" i="22" s="1"/>
  <c r="H149" i="22" s="1"/>
  <c r="H147" i="22" s="1"/>
  <c r="H145" i="22" s="1"/>
  <c r="H195" i="22"/>
  <c r="H190" i="22" s="1"/>
  <c r="H189" i="22" s="1"/>
  <c r="H187" i="22" s="1"/>
  <c r="H185" i="22" s="1"/>
  <c r="G26" i="1" s="1"/>
  <c r="E18" i="8" s="1"/>
  <c r="D18" i="8" s="1"/>
  <c r="L195" i="22"/>
  <c r="L190" i="22" s="1"/>
  <c r="L189" i="22" s="1"/>
  <c r="L187" i="22" s="1"/>
  <c r="L185" i="22" s="1"/>
  <c r="L143" i="22" s="1"/>
  <c r="K97" i="22"/>
  <c r="K95" i="22" s="1"/>
  <c r="L445" i="22"/>
  <c r="L444" i="22" s="1"/>
  <c r="L443" i="22" s="1"/>
  <c r="L441" i="22" s="1"/>
  <c r="L439" i="22" s="1"/>
  <c r="L419" i="22" s="1"/>
  <c r="J150" i="22" l="1"/>
  <c r="J149" i="22" s="1"/>
  <c r="J147" i="22" s="1"/>
  <c r="J145" i="22" s="1"/>
  <c r="J25" i="1" s="1"/>
  <c r="I6" i="22"/>
  <c r="J17" i="1"/>
  <c r="L6" i="22"/>
  <c r="J441" i="22"/>
  <c r="J439" i="22" s="1"/>
  <c r="J419" i="22" s="1"/>
  <c r="I143" i="22"/>
  <c r="AC15" i="8"/>
  <c r="AB15" i="8" s="1"/>
  <c r="H143" i="22"/>
  <c r="O14" i="1"/>
  <c r="J6" i="22"/>
  <c r="L14" i="1"/>
  <c r="H14" i="1"/>
  <c r="E9" i="8"/>
  <c r="D9" i="8" s="1"/>
  <c r="H12" i="1"/>
  <c r="W26" i="8"/>
  <c r="W4" i="8" s="1"/>
  <c r="AB31" i="8"/>
  <c r="AB26" i="8" s="1"/>
  <c r="AI26" i="8"/>
  <c r="AI4" i="8" s="1"/>
  <c r="G7" i="8"/>
  <c r="M34" i="1"/>
  <c r="D8" i="8"/>
  <c r="Q10" i="8"/>
  <c r="U5" i="8"/>
  <c r="U4" i="8" s="1"/>
  <c r="P12" i="8"/>
  <c r="I8" i="1"/>
  <c r="I13" i="1" s="1"/>
  <c r="J34" i="1"/>
  <c r="K419" i="22"/>
  <c r="H49" i="1"/>
  <c r="L34" i="1"/>
  <c r="M17" i="1"/>
  <c r="I419" i="22"/>
  <c r="K34" i="1"/>
  <c r="G49" i="1"/>
  <c r="H419" i="22"/>
  <c r="I34" i="1"/>
  <c r="O26" i="1"/>
  <c r="L26" i="1"/>
  <c r="H25" i="1"/>
  <c r="H24" i="1" s="1"/>
  <c r="K26" i="1"/>
  <c r="N26" i="1"/>
  <c r="G25" i="1"/>
  <c r="G24" i="1" s="1"/>
  <c r="J26" i="1"/>
  <c r="AC18" i="8" s="1"/>
  <c r="AB18" i="8" s="1"/>
  <c r="M26" i="1"/>
  <c r="N34" i="1"/>
  <c r="O34" i="1"/>
  <c r="K52" i="1"/>
  <c r="N52" i="1"/>
  <c r="O52" i="1"/>
  <c r="L52" i="1"/>
  <c r="J52" i="1"/>
  <c r="M52" i="1"/>
  <c r="L25" i="1"/>
  <c r="O25" i="1"/>
  <c r="K25" i="1"/>
  <c r="N25" i="1"/>
  <c r="J20" i="1"/>
  <c r="M20" i="1"/>
  <c r="N20" i="1"/>
  <c r="K20" i="1"/>
  <c r="K21" i="1"/>
  <c r="N21" i="1"/>
  <c r="M21" i="1"/>
  <c r="J21" i="1"/>
  <c r="AG12" i="8" s="1"/>
  <c r="H97" i="22"/>
  <c r="H95" i="22" s="1"/>
  <c r="G21" i="1" s="1"/>
  <c r="J143" i="22" l="1"/>
  <c r="J5" i="22" s="1"/>
  <c r="M25" i="1"/>
  <c r="M24" i="1" s="1"/>
  <c r="J24" i="1"/>
  <c r="J9" i="1"/>
  <c r="J8" i="1" s="1"/>
  <c r="L24" i="1"/>
  <c r="L8" i="1"/>
  <c r="F9" i="10" s="1"/>
  <c r="H8" i="1"/>
  <c r="C7" i="10" s="1"/>
  <c r="K14" i="1"/>
  <c r="J12" i="1"/>
  <c r="K24" i="1"/>
  <c r="H6" i="22"/>
  <c r="J14" i="1"/>
  <c r="N24" i="1"/>
  <c r="O24" i="1"/>
  <c r="M14" i="1"/>
  <c r="N14" i="1"/>
  <c r="G14" i="1"/>
  <c r="K12" i="1"/>
  <c r="N12" i="1"/>
  <c r="E5" i="8"/>
  <c r="O8" i="1"/>
  <c r="M12" i="1"/>
  <c r="AC17" i="8"/>
  <c r="AB17" i="8" s="1"/>
  <c r="AB16" i="8" s="1"/>
  <c r="E17" i="8"/>
  <c r="Q17" i="8"/>
  <c r="AC11" i="8"/>
  <c r="AB11" i="8" s="1"/>
  <c r="AB12" i="8"/>
  <c r="AG5" i="8"/>
  <c r="AG4" i="8" s="1"/>
  <c r="P10" i="8"/>
  <c r="P5" i="8" s="1"/>
  <c r="Q5" i="8"/>
  <c r="I12" i="8"/>
  <c r="AC8" i="8"/>
  <c r="D7" i="8"/>
  <c r="G5" i="8"/>
  <c r="G4" i="8" s="1"/>
  <c r="J49" i="1"/>
  <c r="M49" i="1"/>
  <c r="K49" i="1"/>
  <c r="L49" i="1"/>
  <c r="O49" i="1"/>
  <c r="N49" i="1"/>
  <c r="M9" i="1" l="1"/>
  <c r="M8" i="1" s="1"/>
  <c r="AC16" i="8"/>
  <c r="O13" i="1"/>
  <c r="P17" i="8"/>
  <c r="P16" i="8" s="1"/>
  <c r="P4" i="8" s="1"/>
  <c r="Q16" i="8"/>
  <c r="Q4" i="8" s="1"/>
  <c r="E16" i="8"/>
  <c r="E4" i="8" s="1"/>
  <c r="D17" i="8"/>
  <c r="D16" i="8" s="1"/>
  <c r="AB8" i="8"/>
  <c r="AB5" i="8" s="1"/>
  <c r="AB4" i="8" s="1"/>
  <c r="AC5" i="8"/>
  <c r="D12" i="8"/>
  <c r="D5" i="8" s="1"/>
  <c r="I5" i="8"/>
  <c r="I4" i="8" s="1"/>
  <c r="N8" i="1"/>
  <c r="L13" i="1"/>
  <c r="H13" i="1"/>
  <c r="K8" i="1"/>
  <c r="K13" i="1" s="1"/>
  <c r="J13" i="1" l="1"/>
  <c r="AC4" i="8"/>
  <c r="N13" i="1"/>
  <c r="D4" i="8"/>
  <c r="E9" i="10"/>
  <c r="G17" i="19" l="1"/>
  <c r="I17" i="19"/>
  <c r="J17" i="19"/>
  <c r="L17" i="19"/>
  <c r="M17" i="19"/>
  <c r="O17" i="19"/>
  <c r="P17" i="19"/>
  <c r="R17" i="19"/>
  <c r="S17" i="19"/>
  <c r="U17" i="19"/>
  <c r="V17" i="19"/>
  <c r="X17" i="19"/>
  <c r="Y17" i="19"/>
  <c r="AA17" i="19"/>
  <c r="AB17" i="19"/>
  <c r="AD17" i="19"/>
  <c r="AE17" i="19"/>
  <c r="AG17" i="19"/>
  <c r="AH17" i="19"/>
  <c r="AJ17" i="19"/>
  <c r="AK17" i="19"/>
  <c r="AM17" i="19"/>
  <c r="AN17" i="19"/>
  <c r="AP17" i="19"/>
  <c r="AQ17" i="19"/>
  <c r="AS17" i="19"/>
  <c r="AT17" i="19"/>
  <c r="F17" i="19"/>
  <c r="J11" i="20" l="1"/>
  <c r="J10" i="20" s="1"/>
  <c r="J9" i="20" s="1"/>
  <c r="AR16" i="19"/>
  <c r="AR15" i="19"/>
  <c r="AR14" i="19"/>
  <c r="AR13" i="19"/>
  <c r="AR12" i="19"/>
  <c r="AR11" i="19"/>
  <c r="AR10" i="19"/>
  <c r="AR9" i="19"/>
  <c r="AR8" i="19"/>
  <c r="Z16" i="19"/>
  <c r="Z15" i="19"/>
  <c r="Z14" i="19"/>
  <c r="Z13" i="19"/>
  <c r="Z12" i="19"/>
  <c r="Z11" i="19"/>
  <c r="Z10" i="19"/>
  <c r="Z9" i="19"/>
  <c r="Z8" i="19"/>
  <c r="W16" i="19"/>
  <c r="W15" i="19"/>
  <c r="W14" i="19"/>
  <c r="W13" i="19"/>
  <c r="W12" i="19"/>
  <c r="W11" i="19"/>
  <c r="W10" i="19"/>
  <c r="W9" i="19"/>
  <c r="W8" i="19"/>
  <c r="T16" i="19"/>
  <c r="T15" i="19"/>
  <c r="T14" i="19"/>
  <c r="T13" i="19"/>
  <c r="T12" i="19"/>
  <c r="T11" i="19"/>
  <c r="T10" i="19"/>
  <c r="T9" i="19"/>
  <c r="T8" i="19"/>
  <c r="N16" i="19"/>
  <c r="K16" i="19"/>
  <c r="N15" i="19"/>
  <c r="K15" i="19"/>
  <c r="N14" i="19"/>
  <c r="K14" i="19"/>
  <c r="N13" i="19"/>
  <c r="K13" i="19"/>
  <c r="N12" i="19"/>
  <c r="K12" i="19"/>
  <c r="N11" i="19"/>
  <c r="K11" i="19"/>
  <c r="N10" i="19"/>
  <c r="K10" i="19"/>
  <c r="N9" i="19"/>
  <c r="K9" i="19"/>
  <c r="N8" i="19"/>
  <c r="N17" i="19" s="1"/>
  <c r="K8" i="19"/>
  <c r="AO16" i="19"/>
  <c r="AL16" i="19"/>
  <c r="AI16" i="19"/>
  <c r="AF16" i="19"/>
  <c r="AC16" i="19"/>
  <c r="AO15" i="19"/>
  <c r="AL15" i="19"/>
  <c r="AI15" i="19"/>
  <c r="AF15" i="19"/>
  <c r="AC15" i="19"/>
  <c r="AO14" i="19"/>
  <c r="AL14" i="19"/>
  <c r="AI14" i="19"/>
  <c r="AF14" i="19"/>
  <c r="AC14" i="19"/>
  <c r="AO13" i="19"/>
  <c r="AL13" i="19"/>
  <c r="AI13" i="19"/>
  <c r="AF13" i="19"/>
  <c r="AC13" i="19"/>
  <c r="AO12" i="19"/>
  <c r="AL12" i="19"/>
  <c r="AI12" i="19"/>
  <c r="AF12" i="19"/>
  <c r="AC12" i="19"/>
  <c r="AO11" i="19"/>
  <c r="AL11" i="19"/>
  <c r="AI11" i="19"/>
  <c r="AF11" i="19"/>
  <c r="AC11" i="19"/>
  <c r="AO10" i="19"/>
  <c r="AL10" i="19"/>
  <c r="AI10" i="19"/>
  <c r="AF10" i="19"/>
  <c r="AC10" i="19"/>
  <c r="AO9" i="19"/>
  <c r="AL9" i="19"/>
  <c r="AI9" i="19"/>
  <c r="AF9" i="19"/>
  <c r="AC9" i="19"/>
  <c r="AO8" i="19"/>
  <c r="AL8" i="19"/>
  <c r="AI8" i="19"/>
  <c r="AF8" i="19"/>
  <c r="AC8" i="19"/>
  <c r="AO17" i="19" l="1"/>
  <c r="K17" i="19"/>
  <c r="T17" i="19"/>
  <c r="AC17" i="19"/>
  <c r="W17" i="19"/>
  <c r="AF17" i="19"/>
  <c r="Z17" i="19"/>
  <c r="AI17" i="19"/>
  <c r="AR17" i="19"/>
  <c r="AL17" i="19"/>
  <c r="R12" i="20" l="1"/>
  <c r="R11" i="20" s="1"/>
  <c r="R10" i="20" s="1"/>
  <c r="R9" i="20" s="1"/>
  <c r="I11" i="20"/>
  <c r="I10" i="20" s="1"/>
  <c r="I9" i="20" s="1"/>
  <c r="K11" i="20"/>
  <c r="K10" i="20" s="1"/>
  <c r="K9" i="20" s="1"/>
  <c r="L11" i="20"/>
  <c r="L10" i="20" s="1"/>
  <c r="L9" i="20" s="1"/>
  <c r="M11" i="20"/>
  <c r="M10" i="20" s="1"/>
  <c r="M9" i="20" s="1"/>
  <c r="N11" i="20"/>
  <c r="N10" i="20" s="1"/>
  <c r="N9" i="20" s="1"/>
  <c r="O11" i="20"/>
  <c r="O10" i="20" s="1"/>
  <c r="O9" i="20" s="1"/>
  <c r="P11" i="20"/>
  <c r="P10" i="20" s="1"/>
  <c r="P9" i="20" s="1"/>
  <c r="Q11" i="20"/>
  <c r="Q10" i="20" s="1"/>
  <c r="Q9" i="20" s="1"/>
  <c r="H11" i="20"/>
  <c r="H10" i="20"/>
  <c r="H9" i="20"/>
  <c r="F16" i="12" l="1"/>
  <c r="G16" i="12"/>
  <c r="E16" i="12"/>
  <c r="E17" i="19" l="1"/>
  <c r="Q16" i="19"/>
  <c r="H16" i="19"/>
  <c r="E16" i="19"/>
  <c r="Q15" i="19"/>
  <c r="H15" i="19"/>
  <c r="E15" i="19"/>
  <c r="Q14" i="19"/>
  <c r="H14" i="19"/>
  <c r="E14" i="19"/>
  <c r="Q13" i="19"/>
  <c r="H13" i="19"/>
  <c r="E13" i="19"/>
  <c r="Q12" i="19"/>
  <c r="H12" i="19"/>
  <c r="E12" i="19"/>
  <c r="Q11" i="19"/>
  <c r="H11" i="19"/>
  <c r="E11" i="19"/>
  <c r="Q10" i="19"/>
  <c r="H10" i="19"/>
  <c r="E10" i="19"/>
  <c r="Q9" i="19"/>
  <c r="H9" i="19"/>
  <c r="E9" i="19"/>
  <c r="Q8" i="19"/>
  <c r="H8" i="19"/>
  <c r="E8" i="19"/>
  <c r="Q17" i="19" l="1"/>
  <c r="H17" i="19"/>
  <c r="E8" i="10" l="1"/>
  <c r="F8" i="10"/>
  <c r="F13" i="10" s="1"/>
  <c r="E13" i="10" l="1"/>
  <c r="E12" i="10"/>
  <c r="F12" i="10"/>
  <c r="D9" i="10" l="1"/>
  <c r="D8" i="10" s="1"/>
  <c r="D13" i="10" l="1"/>
  <c r="D12" i="10"/>
  <c r="M13" i="1"/>
</calcChain>
</file>

<file path=xl/sharedStrings.xml><?xml version="1.0" encoding="utf-8"?>
<sst xmlns="http://schemas.openxmlformats.org/spreadsheetml/2006/main" count="3498" uniqueCount="1138">
  <si>
    <t>ՄԱՍ 1. ՊԵՏԱԿԱՆ ՄԱՐՄՆԻ ՌԱԶՄԱՎԱՐՈՒԹՅԱՆ ԸՆԴՀԱՆՈՒՐ ՆԿԱՐԱԳՐՈՒԹՅՈՒՆԸ</t>
  </si>
  <si>
    <t>Ծրագիր</t>
  </si>
  <si>
    <t>Ծրագրի վերջնական արդյունքները</t>
  </si>
  <si>
    <t xml:space="preserve">Ելակետը </t>
  </si>
  <si>
    <t>Թիրախը</t>
  </si>
  <si>
    <t>Ծրագրային դասիչը</t>
  </si>
  <si>
    <t>Բաժին</t>
  </si>
  <si>
    <t xml:space="preserve">Խումբ </t>
  </si>
  <si>
    <t>Դաս</t>
  </si>
  <si>
    <t>Ընդամենը</t>
  </si>
  <si>
    <t>X</t>
  </si>
  <si>
    <t>(հազար դրամներով)</t>
  </si>
  <si>
    <t>Եկամուտների ստացման աղբյուրների անվանումները</t>
  </si>
  <si>
    <t>Կանխատեսում</t>
  </si>
  <si>
    <t>ԸՆԴԱՄԵՆԸ</t>
  </si>
  <si>
    <t>Արտաքին միջոցներ</t>
  </si>
  <si>
    <t>ՀՀ կառ. համաֆինանսավորում</t>
  </si>
  <si>
    <t>Մնացորդ</t>
  </si>
  <si>
    <t>Վարկային ծրագրեր</t>
  </si>
  <si>
    <t>Դրամաշնորհային ծրագրեր</t>
  </si>
  <si>
    <t>Միջոցառում</t>
  </si>
  <si>
    <t>3.2 Ծախսային խնայողությունների գծով առաջարկները (-) նշանով</t>
  </si>
  <si>
    <t>3.3 Նոր նախաձեռնությունների գծով ընդհանուր ծախսերը</t>
  </si>
  <si>
    <t>Ծրագրի սկիզբն ըստ համապատասխան համաձայնագրի</t>
  </si>
  <si>
    <t>Ծրագրի ավարտն ըստ համապատասխան համաձայնագրի (ներառյալ փոփոխությունները)</t>
  </si>
  <si>
    <t>Առաջին եռամսյակ</t>
  </si>
  <si>
    <t>Երկրորդ եռամսյակ</t>
  </si>
  <si>
    <t>Երրորդ եռամսյակ</t>
  </si>
  <si>
    <t>Չորրորդ եռամսյակ</t>
  </si>
  <si>
    <t>Տարի</t>
  </si>
  <si>
    <t xml:space="preserve">Աղյուսակ 1. Քաղաքականությանն առնչվող բյուջետային ծրագրերն ու միջոցառումները </t>
  </si>
  <si>
    <t>Միջոցառման անվանումը</t>
  </si>
  <si>
    <t>ԼՐԱՑՄԱՆ ՊԱՀԱՆՋՆԵՐ</t>
  </si>
  <si>
    <t>Ռիսկի նկարագրությունը</t>
  </si>
  <si>
    <t>Հնարավոր ազդեցությունը նպատակների և արդյունքային ցուցանիշների վրա</t>
  </si>
  <si>
    <t>Ռիսկի կանխման/ հաղթահարման հնարավոր ուղիները</t>
  </si>
  <si>
    <t>Ընդամենը՝ որից</t>
  </si>
  <si>
    <t>Ցուցանիշներ</t>
  </si>
  <si>
    <t>Արտաքին աղբյուրներից ստացվող ֆինանսավորման տեսակը՝ ըստ ծրագրերի</t>
  </si>
  <si>
    <t>x</t>
  </si>
  <si>
    <t xml:space="preserve">Հավելված N 3. Բյուջետային ծրագրերի և ակնկալվող արդյունքների ներկայացման ձևաչափ </t>
  </si>
  <si>
    <t>Հավելված N 4. Բյուջետային ծրագրերի գծով ամփոփ ծախսերն ըստ բյուջետային ծախսերի գործառական դասակարգման տարրերի և ըստ տնտեսագիտական դասակարգման հոդվածների</t>
  </si>
  <si>
    <t xml:space="preserve">Կանխատեսում (հազար դրամներով)   </t>
  </si>
  <si>
    <t>Հավելված N 6. Պետական մարմնի և դրա ենթակա կազմակերպությունների ստացվելիք եկամուտների աղբյուրները (բացառությամբ պետական բյուջեից ստացվող եկամուտների)</t>
  </si>
  <si>
    <t>Հավելված N 5. Բյուջետային ծրագրերի/միջոցառումների գծով ծախսերը՝ վարչատարածքային բաժանմամբ (ըստ մարզերի)</t>
  </si>
  <si>
    <t>Ծրագրի /Միջոցառման անվանումը</t>
  </si>
  <si>
    <t>Հավելված N 8. Ամփոփ ֆինանսական պահանջներ ՄԺԾԾ ժամանակահատվածի համար</t>
  </si>
  <si>
    <t>Հավելված 10․ Հայտի հետ կապված հիմնական ռիսկերը</t>
  </si>
  <si>
    <t>Ծրագրի միջոցառումները</t>
  </si>
  <si>
    <t>Հավելված N 9. Միջոլորտային (խաչվող) առանձին քաղաքականություններին առնչվող ծրագրերի և միջոցառումների ներկայացման ամփոփ ձևաչափ</t>
  </si>
  <si>
    <r>
      <t>Պետական մարմնի անվանումը</t>
    </r>
    <r>
      <rPr>
        <vertAlign val="superscript"/>
        <sz val="8"/>
        <color rgb="FF000000"/>
        <rFont val="GHEA Grapalat"/>
        <family val="3"/>
      </rPr>
      <t>1</t>
    </r>
    <r>
      <rPr>
        <sz val="8"/>
        <color rgb="FF000000"/>
        <rFont val="GHEA Grapalat"/>
        <family val="3"/>
      </rPr>
      <t>՝</t>
    </r>
  </si>
  <si>
    <r>
      <t>1. Հիմնական ռազմավարական նպատակները և գերակա վերջնական արդյունքները</t>
    </r>
    <r>
      <rPr>
        <vertAlign val="superscript"/>
        <sz val="10"/>
        <color theme="1"/>
        <rFont val="GHEA Grapalat"/>
        <family val="3"/>
      </rPr>
      <t>2</t>
    </r>
    <r>
      <rPr>
        <sz val="10"/>
        <color theme="1"/>
        <rFont val="GHEA Grapalat"/>
        <family val="3"/>
      </rPr>
      <t xml:space="preserve"> </t>
    </r>
  </si>
  <si>
    <r>
      <t>2. Բյուջետային ծրագրերում կատարվող հիմնական փոփոխությունները</t>
    </r>
    <r>
      <rPr>
        <vertAlign val="superscript"/>
        <sz val="10"/>
        <color theme="1"/>
        <rFont val="GHEA Grapalat"/>
        <family val="3"/>
      </rPr>
      <t>3</t>
    </r>
  </si>
  <si>
    <r>
      <t>3.Կապիտալ բնույթի հիմնական միջոցառումները</t>
    </r>
    <r>
      <rPr>
        <vertAlign val="superscript"/>
        <sz val="10"/>
        <color theme="1"/>
        <rFont val="GHEA Grapalat"/>
        <family val="3"/>
      </rPr>
      <t>4</t>
    </r>
    <r>
      <rPr>
        <sz val="10"/>
        <color theme="1"/>
        <rFont val="GHEA Grapalat"/>
        <family val="3"/>
      </rPr>
      <t xml:space="preserve"> </t>
    </r>
  </si>
  <si>
    <t>2027թ.</t>
  </si>
  <si>
    <t>2027թ</t>
  </si>
  <si>
    <t>ԱՄՆ դոլար/Եվրո</t>
  </si>
  <si>
    <t xml:space="preserve">Չորրորդ եռամսյակ </t>
  </si>
  <si>
    <t xml:space="preserve">Տնտեսագիտական դասակարգում </t>
  </si>
  <si>
    <t>Ծրագրով նախատեսված ամբողջ գումարը, ԱՄՆ դոլար/Եվրո</t>
  </si>
  <si>
    <t>հազար դրամ</t>
  </si>
  <si>
    <t>Ամբողջ գումարը</t>
  </si>
  <si>
    <t>Կատարողական</t>
  </si>
  <si>
    <t>բյուջետային վարկի տրամադրման ժամկետ՝ սկիզբ-ավարտ</t>
  </si>
  <si>
    <t>Ձևաչափ 3. Ներքին աղբյուրների հաշվին տրամադրվող բյուջետային վարկերի հաշվին իրականացվելիք ծրագրերը</t>
  </si>
  <si>
    <t xml:space="preserve"> Բյուջետային ծախսերի գործառական դասակարգման բաժինների, խմբերի և դասերի, բյուջետային ծրագրերի միջոցառումների,  բյուջետային հատկացումների գլխավոր կարգադրիչների անվանումները</t>
  </si>
  <si>
    <t xml:space="preserve"> այդ թվում` ըստ կատարողների</t>
  </si>
  <si>
    <t>Հավելված N 7. Արտաքին և ներքին աղբյուրներից ստացվող նպատակային վարկերի (ենթավարկերի) և նպատակային դրամաշնորհների գծով իրականացվող ծրագրերը</t>
  </si>
  <si>
    <t xml:space="preserve">Ձևաչափ 1. Արտաքին աղբյուրներից ստացվող նպատակային վարկային և դրամաշնորհային ծախսային ծրագրեր </t>
  </si>
  <si>
    <t xml:space="preserve">Ձևաչափ 2. Արտաքին աղբյուրներից ստացվող միջոցների հաշվին իրականացվող ենթավարկային ծրագրերը </t>
  </si>
  <si>
    <t xml:space="preserve">Հավելված N 3. Բյուջետային ծրագրերի և ակնկալվող արդյունքների ներկայացման ձևաչափ* </t>
  </si>
  <si>
    <t>* Հավելվածը անհրաժեշտ է լրացնել Phonetic (Times armenia) տառատեսակով</t>
  </si>
  <si>
    <t>2028թ.</t>
  </si>
  <si>
    <t>2028թ</t>
  </si>
  <si>
    <t>Հայտի և 2026-2028թթ ՄԺԾԾ-ով 2025թ. համար նախատեսված չափաքանակի տարբերության պարզաբանումը</t>
  </si>
  <si>
    <t xml:space="preserve">2028թ. </t>
  </si>
  <si>
    <t xml:space="preserve"> ԲԳԿ</t>
  </si>
  <si>
    <t>ԲԳԿ/Ծրագիր/Միջոցառում</t>
  </si>
  <si>
    <t>Աղբյուրը*</t>
  </si>
  <si>
    <t>Միջոցառման նախատեսվող ավարտի տարեթիվ</t>
  </si>
  <si>
    <t>Արտարժույթ</t>
  </si>
  <si>
    <t>* դրամաշնորհի և վարկի գումարների մեջ հաշվարկված են նաև համաֆինանսավորման դրամական  միջոցները:</t>
  </si>
  <si>
    <t xml:space="preserve">Ծրագրի դասիչը </t>
  </si>
  <si>
    <t>Միջոցառման դասիչը</t>
  </si>
  <si>
    <t>Միջոցառման նկարագրություն</t>
  </si>
  <si>
    <t>Ընդհանուր արժեքը (հազ. եվրո, դոլար,դրամ)</t>
  </si>
  <si>
    <t>Հազար դրամ</t>
  </si>
  <si>
    <t xml:space="preserve"> 2027թ. </t>
  </si>
  <si>
    <t xml:space="preserve"> 2028թ. </t>
  </si>
  <si>
    <t xml:space="preserve">Հավելված N 11. Ավարտի ժամկետ ունեցող միջոցառումները </t>
  </si>
  <si>
    <r>
      <t>4. Ֆինանսական ակտիվների կառավարմանն առնչվող միջոցառումները</t>
    </r>
    <r>
      <rPr>
        <vertAlign val="superscript"/>
        <sz val="10"/>
        <color theme="1"/>
        <rFont val="GHEA Grapalat"/>
        <family val="3"/>
      </rPr>
      <t>5</t>
    </r>
    <r>
      <rPr>
        <sz val="10"/>
        <color theme="1"/>
        <rFont val="GHEA Grapalat"/>
        <family val="3"/>
      </rPr>
      <t>՝</t>
    </r>
  </si>
  <si>
    <t xml:space="preserve"> Ծրագրի/միջոցառման դասիչը</t>
  </si>
  <si>
    <t xml:space="preserve"> Ծրագրի նպատակը/Միջոցառման նկարագրությունը</t>
  </si>
  <si>
    <t>2027թ. բյուջե (ներառյալ ընդլայնումները և նոր նախաձեռնությունները)</t>
  </si>
  <si>
    <t xml:space="preserve">2029թ. </t>
  </si>
  <si>
    <t>Հիմնավորումներ/ Պատճառներ (այդ թվում՝ 2026 թվականի հաստատված բյուջեի նկատմամբ 2027թ. բազային բյուջեի տարբերության պատճառները ըստ հիմնական գործոնների*</t>
  </si>
  <si>
    <t>Փոփոխությունը 2026-28թթ. ՄԺԾԾ փաստաթղթի համեմատ (լրացնել այո կամ ոչ)</t>
  </si>
  <si>
    <t>2029թ.</t>
  </si>
  <si>
    <t xml:space="preserve">
2025թ․ 
(փաստացի)
</t>
  </si>
  <si>
    <t>2026թ. 
(հաստատված բյուջե)</t>
  </si>
  <si>
    <t xml:space="preserve">2028թ. բյուջե 
</t>
  </si>
  <si>
    <t xml:space="preserve">2029թ. բյուջե  
</t>
  </si>
  <si>
    <t>Բազային տարի ըստ 2025 թվականի տարեկան  հաշվետվության</t>
  </si>
  <si>
    <t>2026 թվականի սպասողական</t>
  </si>
  <si>
    <t>Կատարողականն առ. 01.01.2025թ. դրությամբ</t>
  </si>
  <si>
    <t>2025թ. բյուջե (փաստ)</t>
  </si>
  <si>
    <t xml:space="preserve">2026թ. բյուջե (սպասողական) </t>
  </si>
  <si>
    <t>Ծրագրի գծով 2027-2029թթ ՄԺԾԾ-ով 2027թ. համար նախատեսված չափաքանակները (գոյություն ունեցող պարտավորություններ)</t>
  </si>
  <si>
    <t>2027թ. բյուջետային հայտ</t>
  </si>
  <si>
    <t>Հայտի և 2027-2029թթ ՄԺԾԾ-ով 2026թ. համար նախատեսված չափաքանակի տարբերության պարզաբանումը</t>
  </si>
  <si>
    <t>2029թ</t>
  </si>
  <si>
    <t>2027թ. Բյուջետային հայտ</t>
  </si>
  <si>
    <t>2026թ.
(հաստատված բյուջե)</t>
  </si>
  <si>
    <t>1. Պետական մարմնի գծով 2027-2029 թվականների համար սահմանված ֆինանսավորման նախնական ընդհանուր կողմնորոշիչ չափաքանակները*</t>
  </si>
  <si>
    <t xml:space="preserve">Նախատեսվող մնացորդը  2027 թվականի տարվա վերջի դրությամբ </t>
  </si>
  <si>
    <t>2025թ. (փաստացի)</t>
  </si>
  <si>
    <t xml:space="preserve"> 2029թ. </t>
  </si>
  <si>
    <t>Բյուջետային ծախսերը (հազ. դրամ)</t>
  </si>
  <si>
    <t>Միջոցառման գծով բազային բյուջեն</t>
  </si>
  <si>
    <t>*</t>
  </si>
  <si>
    <t xml:space="preserve">Ծրագրի </t>
  </si>
  <si>
    <t>Ծրագրի /միջոցառման նախատեսվող ավարտը</t>
  </si>
  <si>
    <t>Ծրագրի /միջոցառման սկիզբը</t>
  </si>
  <si>
    <t>Ընդամենը նախաձեռնության գծով ծախսեր (հազ. դրամ)</t>
  </si>
  <si>
    <t>Ծրագրի/ միջոցառման անվանումը</t>
  </si>
  <si>
    <t>list 1</t>
  </si>
  <si>
    <t>list 2</t>
  </si>
  <si>
    <t>list 3</t>
  </si>
  <si>
    <t>Ապրանք և ծառայություն</t>
  </si>
  <si>
    <t>Նոր միջոցառում</t>
  </si>
  <si>
    <t>Պարտադիր</t>
  </si>
  <si>
    <t>1. Պետական մարմինը</t>
  </si>
  <si>
    <t>Տրանսֆերտ</t>
  </si>
  <si>
    <t>Գոյություն ունեցող միջոցառման ընդլայնում</t>
  </si>
  <si>
    <t>Հայեցողական (շարունակական)</t>
  </si>
  <si>
    <t>Այլ (նկարագրել)</t>
  </si>
  <si>
    <t>Հայեցողական (ոչ շարունակական)</t>
  </si>
  <si>
    <t>2. Ծրագիրը</t>
  </si>
  <si>
    <t>Ծրագրի/ միջոցառման նախատեսվող սկիզբը</t>
  </si>
  <si>
    <t>3. Միջոցառումը</t>
  </si>
  <si>
    <t>4. Նոր նախաձեռնության ծախսերի հիմքում դրված ծախսային պարտավորության բնույթը՝</t>
  </si>
  <si>
    <t>5. Նպատակը</t>
  </si>
  <si>
    <t>9. Արդյունքային չափորոշիչները</t>
  </si>
  <si>
    <t>Չափի միավորը</t>
  </si>
  <si>
    <t>10. Պահանջվող ռեսուրսները</t>
  </si>
  <si>
    <t>ՀՀ դրամ</t>
  </si>
  <si>
    <t>Միջոցառման ավարտի տարին</t>
  </si>
  <si>
    <t>11. Ֆինանսավորման աղբյուրը</t>
  </si>
  <si>
    <t>Նոր նախաձեռնության գծով ընդհանուր ծախսեր, այդ թվում՝</t>
  </si>
  <si>
    <t>Պետական բյուջե, այդ թվում՝</t>
  </si>
  <si>
    <t>Այլ բյուջետային ծրագրերից ակնկալվող ծախսային խնայողություններ</t>
  </si>
  <si>
    <t>Այլ աղբյուրներ, այդ թվում՝</t>
  </si>
  <si>
    <t>Նոր նախաձեռնությունների զուտ ազդեցությունը պետական բյուջեի վրա</t>
  </si>
  <si>
    <t xml:space="preserve"> Ծրագիր</t>
  </si>
  <si>
    <t xml:space="preserve"> Միջոցառում</t>
  </si>
  <si>
    <t xml:space="preserve"> ԲԳԿ/Ծրագրի /միջոցառման անվանումը</t>
  </si>
  <si>
    <t xml:space="preserve">Ձևաչափ N 1. Նոր նախաձեռնությունների գծով ամփոփ տեղեկատվություն </t>
  </si>
  <si>
    <t>Ձևաչափ N 2. Նոր նախաձեռնությունների ներկայացման ձևաչափ</t>
  </si>
  <si>
    <t>6. Նկարագրությունը</t>
  </si>
  <si>
    <t>7. Սպասվող օգուտները</t>
  </si>
  <si>
    <t xml:space="preserve">8. Նոր նախաձեռնությունը չֆինանսավորելու դեպքում ծագող խնդիրները </t>
  </si>
  <si>
    <t>12. Այլ անհրաժեշտ տեղեկատվություն և հիմնավորումներ</t>
  </si>
  <si>
    <t>Լրացվում է հայտը ներկայացնող պետական մարմնի անվանումը</t>
  </si>
  <si>
    <t>Համառոտ ներկայացնել այն հիմնական ռազմավարական նպատակները և գերակա վերջնական արդյունքները, որոնց վրա պետական մարմինը ձգտում է ներազդել իր պատասխանատվության ներքո իրականացվող բյուջետային ծրագրերի և միջոցառումների միջոցով</t>
  </si>
  <si>
    <t>Համառոտ ներկայացնել պետական մարմնի պատասխանատվության ներքո իրականացվող բյուջետային ծրագրերում կատարվող հիմնական փոփոխությունները՝ ներառյալ փոփոխություններ մատուցվող ծառայություններում, տրամադրվող տրանսֆերտներում և շահառուների շրջանակներում: Ներկայացնել միայն այն փոփոխությունները, որոնք հատկապես կարևորվում են հիմնական գերակա վերջնական արդյունքների ձեռք բերման տեսանկյունից</t>
  </si>
  <si>
    <t>Համառոտ ներկայացնել պետական մարմնի պատասխանատվության ներքո իրականացվող բյուջետային ծրագրերի շրջանակներում իրականացվող Կապիտալ բնույթի հիմնական միջոցառումները , որոնք ուղղված են գերակա վերջնական արդյուքների ապահովմանը</t>
  </si>
  <si>
    <t>Համառոտ ներկայացնել պետական մարմնի պատասխանատվության ներքո իրականացվող բյուջետային ծրագրերի շրջանակներում իրականացվող ֆինանսական ակտիվների կառավարման այն հիմնական միջոցառումները (բաժնետոմսերի ձեռք բերում, վարկերի տրամադրում և այլն), որոնք ուղղված են գերակա վերջնական արդյունքների ապահովմանը</t>
  </si>
  <si>
    <t xml:space="preserve">Հավելված 2. </t>
  </si>
  <si>
    <t xml:space="preserve">Համառոտ նկարագրել նոր նախաձեռնության նպատակը: Նպատակը սահմանելիս անհրաժեշտ է նկարագրել, թե ինչպես են առաջարկվող միջոցառումները նպաստելու պետական մարմնի առաքելության, ՀՀ կառավարության ընդհանուր նպատակների և գերակայությունների իրագործմանը: Անհրաժեշտ է կատարել հղումներ ՀՀ կառավարության ընդհանուր նպատակներն ու գերակայությունները սահմանող համապատասխան փաստաթղթերին: </t>
  </si>
  <si>
    <t>Մանրամասն նկարագրել նոր նախաձեռնության շրջանակներում իրականացվող միջոցառումները (մատուցվող ծառայությունները, տրամադրվող տրանսֆերտները և այլն), դրանց գծով հիմնական շահառուների շրջանակները, միջոցառման իրագործման մեխանիզմները (ծառայությունների պատվիրակում ՊՈԱԿ-ներին, պետական կառավարչական հիմնարկների կարողությունների օգտագործում և այլն), պետական բյուջեից ֆինանսավորման մեխանիզմները և այլ անհրաժեշտ տեղեկատվություն, որն ընդհանուր առմամբ նկարագրում է նոր նախաձեռնությունը:</t>
  </si>
  <si>
    <t>Համառոտ նկարագրել նոր նախաձեռնության շրջանակներում իրականացվող միջոցառումները այն տրամաբանությամբ, որ սույն նկարագրությունը ՀՀ պետական բյուջեի նախագծում ներառվի որպես միջոցառման նկարագրություն համապատասխան հավելվածներում</t>
  </si>
  <si>
    <t>Հավելված N 1. Բյուջետային հայտի ամփոփ նկարագրություն</t>
  </si>
  <si>
    <t>Ներկայացվում է 2027 թվականի բյուջետային հայտի շրջանակում</t>
  </si>
  <si>
    <t>Կապը Նոր նախաձեռնության ոլորտի ռազմավարության հետ, եթե հաստատված ռազմավարություն առկա է</t>
  </si>
  <si>
    <r>
      <t>Միջոցառման նկարագրությունը</t>
    </r>
    <r>
      <rPr>
        <vertAlign val="superscript"/>
        <sz val="8"/>
        <color theme="1"/>
        <rFont val="GHEA Grapalat"/>
        <family val="3"/>
      </rPr>
      <t>2</t>
    </r>
  </si>
  <si>
    <r>
      <t>Նպատակը</t>
    </r>
    <r>
      <rPr>
        <vertAlign val="superscript"/>
        <sz val="8"/>
        <color theme="1"/>
        <rFont val="GHEA Grapalat"/>
        <family val="3"/>
      </rPr>
      <t>1</t>
    </r>
  </si>
  <si>
    <t>Հավելված N 2. Նոր նախաձեռնությունների ներկայացման ամփոփ ձևաչափ</t>
  </si>
  <si>
    <t>Ցանկում նոր նախաձեռնությունները ներկայացվում են  ըստ առաջնահերթության</t>
  </si>
  <si>
    <t>Անհրաժեշտության դեպքում ցանկում ավելացվում են նոր տողեր ըստ նոր նախաձեռնությունների թվի</t>
  </si>
  <si>
    <t xml:space="preserve">Նշվում է նոր միջոցառման տեսակը՝ ծառայություն, տրանսֆերտ, թե այլ (նկարագրել) </t>
  </si>
  <si>
    <r>
      <t>Միջոցառման (պետության միջամտության) տեսակը</t>
    </r>
    <r>
      <rPr>
        <vertAlign val="superscript"/>
        <sz val="8"/>
        <color theme="1"/>
        <rFont val="GHEA Grapalat"/>
        <family val="3"/>
      </rPr>
      <t>3</t>
    </r>
  </si>
  <si>
    <r>
      <t>Սպասվող օգուտները</t>
    </r>
    <r>
      <rPr>
        <vertAlign val="superscript"/>
        <sz val="8"/>
        <color theme="1"/>
        <rFont val="GHEA Grapalat"/>
        <family val="3"/>
      </rPr>
      <t>4</t>
    </r>
    <r>
      <rPr>
        <sz val="8"/>
        <color theme="1"/>
        <rFont val="GHEA Grapalat"/>
        <family val="3"/>
      </rPr>
      <t xml:space="preserve"> </t>
    </r>
  </si>
  <si>
    <t xml:space="preserve">Համառոտ նկարագրել նոր նախաձեռնության արդյունքում ակնկալվող հիմնական օգուտները: Օգուտները նկարագրելիս հնարավորության սահմաններում անհրաժեշտ է ներկայացնել այն հիմնական վերջնական արդյունքները, որոնց նպաստելու է նախաձեռնության իրականացումը, և թե ինչպես են դրանք նպաստելու ՀՀ կառավարության ծրագրով սահմանված քաղաքականության թիրախների իրագործմանը: </t>
  </si>
  <si>
    <r>
      <t>Միջոցառման հիմքում դրված ծախսային պարտավորության բնույթը</t>
    </r>
    <r>
      <rPr>
        <vertAlign val="superscript"/>
        <sz val="8"/>
        <color theme="1"/>
        <rFont val="GHEA Grapalat"/>
        <family val="3"/>
      </rPr>
      <t>5</t>
    </r>
  </si>
  <si>
    <t>Նշվում է նոր նախաձեռնության շրջանակներում իրականացվող ծախսերի հիմքում դրված պարտավորությունների բնույթը: Անհրաժեշտ է ընտրել համապատասխան տիպի պարտավորության բնույթը:</t>
  </si>
  <si>
    <t>12. Արդյունքների այլ մակարդակներ արտահայտող այլընտրանքներ</t>
  </si>
  <si>
    <t xml:space="preserve">Այլընտրանք # 3 </t>
  </si>
  <si>
    <t>Այլընտրանք # ...</t>
  </si>
  <si>
    <t>15. Կապը Նոր նախաձեռնության ոլորտի ռազմավարության հետ, եթե հաստատված ռազմավարություն առկա է</t>
  </si>
  <si>
    <t xml:space="preserve">ՄԺԾԾ փուլում ներկայացվում է Նոր նախաձեռնությունները միայն ամփոփ աղյուսակով, բյուջետային հայտի տրամադրման փուլում ներկայացվում են Հ2 Ձև 2-ով սահմանված ձևաչափով տեղեկատվություն  յուրաքանչյուր նոր միջոցառման մասով </t>
  </si>
  <si>
    <t>Սույն ձևաչափով ներկայացվում է տեղեկատվություն  յուրաքանչյուր նոր միջոցառման համար</t>
  </si>
  <si>
    <t>Սույն հավելվածը ներկայացվում է ՄԺԾԾ փուլում, թարմացվում Բյուջետային հայտի փուլում</t>
  </si>
  <si>
    <t>2. ՀՀ 2026թ. պետական բյուջեով 2026-2028 թվականների՝ պետական մարմնի գծով սահմանված ընդհանուր հատկացումները</t>
  </si>
  <si>
    <t>3.1 Բազային բյուջեի գնահատում 2027-2029թթ. ՄԺԾԾ համար (առանց ծախսային խնայողությունների վերաբերյալ առաջարկների ներառման)</t>
  </si>
  <si>
    <t>4. Տարբերությունը ՀՀ 2026թ. պետական բյուջեի համապատասխան ցուցանիշից (տող 3 - տող 2)</t>
  </si>
  <si>
    <t>5. Տարբերությունը 2027-2029 թվականների համար սահմանված ֆինանսավորման նախնական ընդհանուր կողմնորոշիչ չափաքանակներից (տող 3-տող 1)</t>
  </si>
  <si>
    <t xml:space="preserve">Յուրաքանչյուր առանձին նոր նախաձեռնության համար լրացվում է առանձին ձևաչափ: </t>
  </si>
  <si>
    <r>
      <t>Ձևաչափ N 2. Նոր նախաձեռնությունների ներկայացման ձևաչափ</t>
    </r>
    <r>
      <rPr>
        <vertAlign val="superscript"/>
        <sz val="12"/>
        <color theme="1"/>
        <rFont val="GHEA Grapalat"/>
        <family val="3"/>
      </rPr>
      <t>1</t>
    </r>
  </si>
  <si>
    <r>
      <t>Պետական մարմնի անվանումը</t>
    </r>
    <r>
      <rPr>
        <vertAlign val="superscript"/>
        <sz val="10"/>
        <color theme="1"/>
        <rFont val="GHEA Grapalat"/>
        <family val="3"/>
      </rPr>
      <t>2</t>
    </r>
    <r>
      <rPr>
        <sz val="10"/>
        <color theme="1"/>
        <rFont val="GHEA Grapalat"/>
        <family val="3"/>
      </rPr>
      <t xml:space="preserve"> </t>
    </r>
    <r>
      <rPr>
        <vertAlign val="superscript"/>
        <sz val="10"/>
        <color theme="1"/>
        <rFont val="GHEA Grapalat"/>
        <family val="3"/>
      </rPr>
      <t/>
    </r>
  </si>
  <si>
    <t>Նոր նախաձեռնությանն առնչվող այլ պետական մարմինների անվանումները</t>
  </si>
  <si>
    <r>
      <t xml:space="preserve">Ծրագրի անվանումը </t>
    </r>
    <r>
      <rPr>
        <vertAlign val="superscript"/>
        <sz val="9"/>
        <color theme="1"/>
        <rFont val="GHEA Grapalat"/>
        <family val="3"/>
      </rPr>
      <t>5</t>
    </r>
  </si>
  <si>
    <t>Ծրագրի դասիչը6</t>
  </si>
  <si>
    <t>Ծրագրի/ միջոցառման նախատեսվող ավարտը8</t>
  </si>
  <si>
    <r>
      <t>Միջոցառման անվանումը</t>
    </r>
    <r>
      <rPr>
        <vertAlign val="superscript"/>
        <sz val="9"/>
        <color theme="1"/>
        <rFont val="GHEA Grapalat"/>
        <family val="3"/>
      </rPr>
      <t>9</t>
    </r>
  </si>
  <si>
    <r>
      <t>Միջոցառման դասիչը</t>
    </r>
    <r>
      <rPr>
        <vertAlign val="superscript"/>
        <sz val="9"/>
        <color theme="1"/>
        <rFont val="GHEA Grapalat"/>
        <family val="3"/>
      </rPr>
      <t>10</t>
    </r>
    <r>
      <rPr>
        <vertAlign val="superscript"/>
        <sz val="10"/>
        <color theme="1"/>
        <rFont val="GHEA Grapalat"/>
        <family val="3"/>
      </rPr>
      <t xml:space="preserve">  </t>
    </r>
  </si>
  <si>
    <t>Նշել նոր նախաձեռնությունը ներկայացնող պետական մարմնի անվանումը:</t>
  </si>
  <si>
    <t xml:space="preserve">շվում է տվյալ նոր նախաձեռնությանն առնչվող (կատարող) պետական մարմինների անվանումները՝ բացառությամբ հայտը ներկայացնող պետական մարմնի անվանման: Լրացվում է միայն այն դեպքում, երբ նոր նախաձեռնությունը առնչվում է մեկից ավելի պետական մարմինների: </t>
  </si>
  <si>
    <t xml:space="preserve"> Հավելվածի այս և հաջորդող հատվածներում ծրագրի և միջոցառման սահմանման, ինչպես նաև դրանց բաղադրիչների (նպատակներ, արդյունքային ցուցանիշներ և այլն) սահմանման/ նկարագրության համար անհրաժեշտ է առաջնորդվել սույն մեթոդական ցուցումների բաղկացուցիչ մաս հանդիսացող «Ծրագրային բյուջետավորման ձևաչափով բյուջետային ծրագրերի և միջոցառումների սահմանման» և «Ծրագրային բյուջետավորման ձևաչափով բյուջետային ծրագրերի և միջոցառումների գծով արդյունքային ցուցանիշների սահմանման» մեթոդական ձեռնարկներով:</t>
  </si>
  <si>
    <t xml:space="preserve"> Լրացվում է համապատասխան բյուջետային ծրագրի անվանումը, որի շրջանակներում նախատեսվում է նոր նախաձեռնության իրականացումը և ֆինանսավորումը: Այն դեպքում, երբ նոր նախաձեռնությունը ենթադրում է նոր բյուջետային ծրագրի իրականացում, ապա անհրաժեշտ է ներքևում Նոր ծրագրի դիմացի վանդակում դնել &lt;X&gt; նշանը և ներկայացնել համապատասխան հիմնավորումներ նոր ծրագրի անհրաժեշտության վերաբերյալ:</t>
  </si>
  <si>
    <t xml:space="preserve">Լրացվում է համապատասխան ծրագրի դասիչը՝ քառանիշ կոդը: Նոր ծրագրերի դեպքում այս տողը չի լրացվում: </t>
  </si>
  <si>
    <t>Վանդակում դրվում է &lt;X&gt; նշանը, եթե նոր նախաձեռնությունը ենթադրում է նոր բյուջետային ծրագրի ներմուծում: Հակառակ դեպքում վանդակը թողնվում է դատարկ:</t>
  </si>
  <si>
    <t>Լրացվում է ծրագրի ակնկալվող ավարտը։ Լրացվում է միայն այն նախաձեռնությունների համար, որոնք ունեն հստակ կամ կանխատեսվող ավարտի ժամկետ:</t>
  </si>
  <si>
    <t xml:space="preserve"> Լրացվում է ծրագրի միջոցառման անվանումը, որի շրջանակներում նախատեսվում է նոր նախաձեռնության իրականացումը և ֆինանսավորումը: </t>
  </si>
  <si>
    <t>Լրացվում է ծրագրի միջոցառման դասիչը այն դեպքում, երբ նոր նախաձեռնությունը ենթադրում է գոյություն ունեցող ծառայությունների կամ տրանսֆերտների տարածում շահառուների նոր շրջանակի վրա: Նոր միջոցառման (օրինակ՝ նոր տիպի ծառայությունների մատուցում) դեպքում այս տողը չի լրացվում:</t>
  </si>
  <si>
    <t xml:space="preserve">Միջոցառման (պետության միջամտության) տեսակը վանդակի դիմացի վանդակում անհրաժեշտ է ընտրել նոր միջոցառման տեսակը՝ ծառայություն, տրանսֆերտ, թե այլ (նկարագրել) </t>
  </si>
  <si>
    <t xml:space="preserve"> Ներկայացվում է համապատասխան միջոցառման շրջանակներում իրականացվող պարտադիր (պարտադիր ծախսերին դասվող միջոցառումների դեպքում) կամ հայեցողական (հայեցողական ծախսերին դասվող միջոցառումների դեպքում) պարտավորությունների համառոտ նկարագիրը՝ այդ թվում մատուցվող ծառայությունների, տրամադրող տարնսֆերտների և շահառուների շրջանակը:</t>
  </si>
  <si>
    <t xml:space="preserve">Սյունակը լրացվում է միայն պարտադիր ծախսերին դասվող միջոցառումների համար:  </t>
  </si>
  <si>
    <t xml:space="preserve">Սյունակում կատարվում են հղումներ պատադիր ծախսային պարտավորությունները սահմանող օրենքների և միջազգային պայմանագրերի կոնկրետ դրույթների վրա, իսկ այդ պարտավորությունների շրջանակներում գործադիր մարմին վերապահված հայեցողական իրավասությունների դեպքում՝ նաև այդ իրավասությունները սահմանող իրավական ակտերի վրա: Հայեցողական ծախսերին դասվող միջոցառումների դեպքում կատարվում են հղումներ այդ ծախսային պարտավորությունները սահմանող իրավական ակտերի վրա: Նոր իրավական կարգավորումներ նախատեսելու պարագայում անհրաժեշտ է նշումներ կատարել այդ մասին: </t>
  </si>
  <si>
    <t xml:space="preserve">Այն դեպքում, երբ նոր նախաձեռնությունն առնչվում է միջոլորտային(խաչվող) առանձին քաղաքականությունների նպատակների հետ, համապատասխան քաղաքականության դիմացի վանդակում դնել &lt;X&gt; նշանը և ստորև նկարագրել, թե նոր նախաձեռնության շրջանակներում իրականացվող միջոցառումն ինչպես է նպաստելու համապատասխան քաղաքականության նպատակ(ներ)ի իրագործմանը: Հակառակ դեպքում վանդակները թողնվում են դատարկ: Խոսքը վերաբերվում է այնպիսի քաղաքականությունների մասին, որոնց արդյունքներն ու դրանց շրջանակներում իրականացվող միջոցառումներն առնչվում են մեկից ավելի ոլորտների, նպատակների և գերատեսչությունների հետ և առկա ծրագրային կառուցվածքը հնարավորություն չի տալիս արդյունավետ կերպով առանձնացնել այդ քաղաքականություններին ուղղված ծախսերը: </t>
  </si>
  <si>
    <t xml:space="preserve"> Այն դեպքում, երբ նոր նախաձեռնությունն առնչվում է Տնտեսության իրական հատվածի աջակցության մասով նոր նախաձեռնություններին առնչությունը գործող իրավակարգավորումների հետ, համապատասխան քաղաքականության դիմացի վանդակում դնել &lt;X&gt; նշանը և ստորև նկարագրել, թե որ իրավակարգավորմանն է առնչվում միջոցառումը: Հակառակ դեպքում վանդակները թողնվում են դատարկ: </t>
  </si>
  <si>
    <t xml:space="preserve">Համառոտ նկարագրել նոր նախաձեռնությունը չընդունելու և չֆինանսավորելու դեպքում հնարավոր հետևանքները և ծագող խնդիրները: Հնարավորության սահմաններում ներկայացնել թվային գնահատականներ: Եթե նախատեսվում է նոր նախաձեռնություն գործող պարտավորությունների դադարեցման կամ կրճատման հաշվին, սակայն պահանջվում է համապատասխան նոր իրավական հիմքերի ստեղծում և չի կարող կատարվել միայն պետական մարմնին գործող օրենսդրությամբ վերապահված իրավասության շրջանակներում իրականացվող ներքին ընթացակարգերի միջոցով, ապա ներկայացնել համապատասխան բացատրություններ և հիմնավորումներ: </t>
  </si>
  <si>
    <t>Ներկայացվում են նոր նախաձեռնության գծով ակնկալվող ոչ ֆինանսական արդյունքների կանխատեսումները: Հնարավորության սահմաններում ներառեք նաև ՄԱԿ Կայուն զարգացման նպատակների շրջանակներում սահմանված համապատասխան արդյունքային ցուցանիշ/ները՝ նշելով դրանց համապատասխան ցուցիչը(տես՝ http://un.am/hy/p/sdgs-in-general)։ Այն դեպքերում, երբ նոր նախաձեռնությունը ենթադրում է գոյություն ունեցող միջոցառման ընդլայնում, ապա այս դեպքում ներկայացվում են միայն այն ոչ ֆինանսական արդյունքները, որոնք փոփոխության կենթարկվեն նախաձեռնության իրականացման արդյունքում: Այն ծրագրերի և միջոցառումների դեպքում, որոնք առնչվում են միջոլորտային (խաչվող) քաղաքականությունների նպատակների և գերակայությունների (գենդերային քաղաքականություն, Կլիմայի փոփոխության մեղմման և հարմարվողականության քաղաքականություն և այլն) հետ, ոչ-ֆինանսական արդյունքների  ցուցանիշների կազմում անհրաժեշտ է ներառել նաև այդ քաղաքականություններին առնչվող, այդ թվում՝ գենդերային զգայուն ոչ-ֆինանսական ցուցանիշներ:</t>
  </si>
  <si>
    <t>Ներկայացվում է կանխատեսվող ցուցանիշները նախաձեռնության ավարտի համար նախատեսված տարեթվի դրությամբ: Լրացվում է միայն այն նախաձեռնությունների համար, որոնք ունեն հստակ կամ կանխատեսվող ավարտի ժամկետ:</t>
  </si>
  <si>
    <t xml:space="preserve">Ներկայացվում է նախաձեռնության գծով սպառվող ռեսուրսների և դրանց գծով ծախսերի կանխատեսումները (ըստ բյուջետային ծախսերի տնտեսագիտական դասակարգման հոդվածների): Անհրաժեշտ է փաստաթղթին կցել ծախսակազմումների (ներառյալ հաշվարկների) բոլոր մանրամասները: Ծախսակազմումն իրականացնելիս անհրաժեշտ է առաջնորդվել սույն ցուցումների բաղկացուցիչ մաս հանդիսացող «Բյուջետային ծրագրերի ծախսակազմման ընդհանուր ուղեցույցներով», իսկ տվյալ ծրագրի կամ միջոցառման գծով ծախսակազմման մանրամասն ուղեցույցների առկայության դեպքում՝ այդ մանրամասն ուղեցույցների պահանջներով: </t>
  </si>
  <si>
    <t>Ներկայացվում է նոր նախաձեռնության գծով ծախսերի ֆինանսավորման ակնկալվող աղբյուրները:</t>
  </si>
  <si>
    <t>Ներկայացվում են նոր նախաձեռնության հետ կապված այլ անհրաժեշտ տեղեկատվություն և հիմնավորումներ:</t>
  </si>
  <si>
    <r>
      <t>Միջոցառման (պետության միջամտության) տեսակը</t>
    </r>
    <r>
      <rPr>
        <vertAlign val="superscript"/>
        <sz val="9"/>
        <color theme="1"/>
        <rFont val="GHEA Grapalat"/>
        <family val="3"/>
      </rPr>
      <t>11</t>
    </r>
    <r>
      <rPr>
        <vertAlign val="superscript"/>
        <sz val="10"/>
        <color theme="1"/>
        <rFont val="GHEA Grapalat"/>
        <family val="3"/>
      </rPr>
      <t xml:space="preserve"> </t>
    </r>
  </si>
  <si>
    <r>
      <t>Ծախսային պարտավորության բնույթը</t>
    </r>
    <r>
      <rPr>
        <vertAlign val="superscript"/>
        <sz val="9"/>
        <color theme="1"/>
        <rFont val="GHEA Grapalat"/>
        <family val="3"/>
      </rPr>
      <t>12</t>
    </r>
  </si>
  <si>
    <r>
      <t>Պարտադիր կամ հայեցողական  պարտավորությունների շրջանակը</t>
    </r>
    <r>
      <rPr>
        <vertAlign val="superscript"/>
        <sz val="9"/>
        <color theme="1"/>
        <rFont val="GHEA Grapalat"/>
        <family val="3"/>
      </rPr>
      <t>13</t>
    </r>
  </si>
  <si>
    <r>
      <t>6Պարտադիր պարտավորության շրջանակներում գործադիր մարմնի հայեցողական իրավասությունների շրջանակները</t>
    </r>
    <r>
      <rPr>
        <vertAlign val="superscript"/>
        <sz val="9"/>
        <color theme="1"/>
        <rFont val="GHEA Grapalat"/>
        <family val="3"/>
      </rPr>
      <t>14</t>
    </r>
  </si>
  <si>
    <r>
      <t>Պարտադիր կամ հայեցողական պարտավորությունը սահմանող օրենսդրական հիմքերը</t>
    </r>
    <r>
      <rPr>
        <vertAlign val="superscript"/>
        <sz val="9"/>
        <color theme="1"/>
        <rFont val="GHEA Grapalat"/>
        <family val="3"/>
      </rPr>
      <t>15</t>
    </r>
  </si>
  <si>
    <r>
      <t>Նպատակը</t>
    </r>
    <r>
      <rPr>
        <vertAlign val="superscript"/>
        <sz val="9"/>
        <color theme="1"/>
        <rFont val="GHEA Grapalat"/>
        <family val="3"/>
      </rPr>
      <t>16</t>
    </r>
  </si>
  <si>
    <r>
      <t xml:space="preserve">Նոր նախաձեռնության առնչությունը միջոլորտային(խաչվող) բնույթի քաղաքականության նպատակների հետ՝ </t>
    </r>
    <r>
      <rPr>
        <vertAlign val="superscript"/>
        <sz val="9"/>
        <color theme="1"/>
        <rFont val="GHEA Grapalat"/>
        <family val="3"/>
      </rPr>
      <t>17</t>
    </r>
  </si>
  <si>
    <r>
      <t>Տնտեսության իրական հատվածի աջակցության մասով նոր նախաձեռնությունների առնչությունը գործող իրավակարգավորումների հետ</t>
    </r>
    <r>
      <rPr>
        <vertAlign val="superscript"/>
        <sz val="9"/>
        <color theme="1"/>
        <rFont val="GHEA Grapalat"/>
        <family val="3"/>
      </rPr>
      <t>18</t>
    </r>
  </si>
  <si>
    <r>
      <t>6. Նկարագրությունը</t>
    </r>
    <r>
      <rPr>
        <b/>
        <vertAlign val="superscript"/>
        <sz val="10"/>
        <color theme="1"/>
        <rFont val="GHEA Grapalat"/>
        <family val="3"/>
      </rPr>
      <t>19</t>
    </r>
  </si>
  <si>
    <r>
      <t>7. Սպասվող օգուտները</t>
    </r>
    <r>
      <rPr>
        <b/>
        <vertAlign val="superscript"/>
        <sz val="10"/>
        <color theme="1"/>
        <rFont val="GHEA Grapalat"/>
        <family val="3"/>
      </rPr>
      <t>20</t>
    </r>
  </si>
  <si>
    <r>
      <t>8. Նոր նախաձեռնությունը չֆինանսավորելու դեպքում ծագող խնդիրները</t>
    </r>
    <r>
      <rPr>
        <b/>
        <vertAlign val="superscript"/>
        <sz val="10"/>
        <color theme="1"/>
        <rFont val="GHEA Grapalat"/>
        <family val="3"/>
      </rPr>
      <t>21</t>
    </r>
  </si>
  <si>
    <r>
      <t xml:space="preserve">Արդյունքային չափորոշիչները </t>
    </r>
    <r>
      <rPr>
        <vertAlign val="superscript"/>
        <sz val="10"/>
        <color theme="1"/>
        <rFont val="GHEA Grapalat"/>
        <family val="3"/>
      </rPr>
      <t xml:space="preserve">22 </t>
    </r>
  </si>
  <si>
    <r>
      <t>Միջոցառման ավարտի տարին</t>
    </r>
    <r>
      <rPr>
        <vertAlign val="superscript"/>
        <sz val="9"/>
        <color theme="1"/>
        <rFont val="GHEA Grapalat"/>
        <family val="3"/>
      </rPr>
      <t>23</t>
    </r>
  </si>
  <si>
    <r>
      <t xml:space="preserve">Պահանջվող ռեսուրսները </t>
    </r>
    <r>
      <rPr>
        <vertAlign val="superscript"/>
        <sz val="10"/>
        <color theme="1"/>
        <rFont val="GHEA Grapalat"/>
        <family val="3"/>
      </rPr>
      <t xml:space="preserve">24 </t>
    </r>
  </si>
  <si>
    <r>
      <t xml:space="preserve">Ֆինանսավորման աղբյուրը </t>
    </r>
    <r>
      <rPr>
        <vertAlign val="superscript"/>
        <sz val="10"/>
        <color theme="1"/>
        <rFont val="GHEA Grapalat"/>
        <family val="3"/>
      </rPr>
      <t>25</t>
    </r>
  </si>
  <si>
    <r>
      <t>Այլընտրանք # 2 (նվազագույն արդյունքների սցենար)</t>
    </r>
    <r>
      <rPr>
        <vertAlign val="superscript"/>
        <sz val="10"/>
        <color theme="1"/>
        <rFont val="GHEA Grapalat"/>
        <family val="3"/>
      </rPr>
      <t xml:space="preserve"> 26 </t>
    </r>
  </si>
  <si>
    <r>
      <t>13.Նոր նախաձեռնության իրականացման այլ եղանակներ արտահայտող այլընտրանքներ</t>
    </r>
    <r>
      <rPr>
        <b/>
        <vertAlign val="superscript"/>
        <sz val="10"/>
        <color theme="1"/>
        <rFont val="GHEA Grapalat"/>
        <family val="3"/>
      </rPr>
      <t>27</t>
    </r>
  </si>
  <si>
    <r>
      <t>14. Այլ անհրաժեշտ տեղեկատվություն և հիմնավորումներ</t>
    </r>
    <r>
      <rPr>
        <b/>
        <vertAlign val="superscript"/>
        <sz val="10"/>
        <color theme="1"/>
        <rFont val="GHEA Grapalat"/>
        <family val="3"/>
      </rPr>
      <t>28</t>
    </r>
  </si>
  <si>
    <t>13.Նոր նախաձեռնության իրականացման այլ եղանակներ արտահայտող այլընտրանքներ</t>
  </si>
  <si>
    <t xml:space="preserve">Ներկայացվում է համապատասխան միջոցառումը նվազագույն մակարդակում (այն մակարդակը, որից ներքև հնարավոր չի հասնել սահմանված նպատակներին) իրականացնելու այլընտրանքը: Մասնավորապես ներկայացվում է այդ այլընտրանքի իրականացման համար անհրաժեշտ ռեսուրսների/ծախսերի և սպասվող արդյունքների գնահատականները, ինչպես նաև մյուս այլընտրանքների համեմատ առավելություններն ու թերությունները: Ներկայացվում է նաև հիմնավորումներ այն մասին, թե ինչու տվյալ այլընտրանքը չի դիտարկվել որպես նախընտրելի այլընտրանք (նախընտրելի այլընտրանքի մանրամասները ներկայացվում են 8-ից 10-րդ կետերում): Այլընտրանքի ծախսակազմման (ներառյալ հաշվարկների) մանրամասները կցվում են: Ծախսակազմումն իրականացնելիս անհրաժեշտ է առաջնորդվել սույն ցուցումների բաղկացուցիչ մաս հանդիսացող «Բյուջետային ծրագրերի ծախսակազմման ընդհանուր ուղեցույցներով», իսկ տվյալ ծրագրի կամ միջոցառման գծով ծախսակազմման մանրամասն ուղեցույցների առկայության դեպքում՝ այդ մանրամասն ուղեցույցների պահանջներով: Այն դեպքում, երբ 8-ից 10-րդ կետերում ներկայացված առաջարկը  (նախընտրելի այլընտրանքը) հանդիսանում է միջոցառումը նվազագույն մակարդակում իրականացնելու սցենարն, ապա  11-րդ կետում պարզապես կատարվում է նշում այդ մասին: </t>
  </si>
  <si>
    <t xml:space="preserve"> Ներկայացվում են նախաձեռնության իրականացման այլ եղանակներ արտահայտող այլընտրանքները: Վերջիններս կարող են վերաբերվել արտադրելու կամ գնելու այլընտրանքին, պետական կամ մասնավոր հատվածին պատվիրակելու այլընտրանքին, տարբերակված ժամանակային հորիզոնների այլընտրանքներին, ինչպես նաև սպառվող ռեսուրսների համախմբության այլընտրանքներին: Այլընտրանքներից յուրաքանչյուրի համար ներկայացվում է այդ այլընտրանքի իրականացման համար անհրաժեշտ ռեսուրսների/ծախսերի և սպասվող արդյունքների գնահատականները, ինչպես նաև մյուս այլընտրանքների համեմատ առավելություններն ու թերությունները: Այլընտրանքներից յուրաքանչյուրի մասով ներկայացվում են նաև հիմնավորումներ այն մասին, թե ինչու համապատասխան այլընտրանքները չեն դիտարկվել որպես նախընտրելի այլընտրանքներ (նախընտրելի այլընտրանքի մանրամասները ներկայացվում են 8-ից 10-րդ կետերում): Այլընտրանքների ծախսակազմման (ներառյալ հաշվարկների) մանրամասները կցվում են: Ծախսակազմումն իրականացնելիս անհրաժեշտ է առաջնորդվել սույն ցուցումների բաղկացուցիչ մաս հանդիսացող «Բյուջետային ծրագրերի ծախսակազմման ընդհանուր ուղեցույցներով», իսկ տվյալ ծրագրի կամ միջոցառման գծով ծախսակազմման մանրամասն ուղեցույցների առկայության դեպքում՝ այդ մանրամասն ուղեցույցների պահանջներով: </t>
  </si>
  <si>
    <t xml:space="preserve">Հավելված 1.  </t>
  </si>
  <si>
    <t>Ծրագրի դասիչը</t>
  </si>
  <si>
    <t>Ծրագրի անվանումը</t>
  </si>
  <si>
    <t>Ծրագրի դասիչը՝</t>
  </si>
  <si>
    <t>Միջոցառման դասիչը՝</t>
  </si>
  <si>
    <t>Միջոցառման անվանումը՝</t>
  </si>
  <si>
    <t>Նկարագրությունը՝</t>
  </si>
  <si>
    <t>Արդյունքի չափորոշիչներ</t>
  </si>
  <si>
    <t>Արդյունքի չափորոշիչի անվանումը և չափման միավորը</t>
  </si>
  <si>
    <t>ՄԱՍ 2. ՊԵՏԱԿԱՆ ՄԱՐՄՆԻ ԾՐԱԳՐԵՐԻ ԳԾՈՎ ՎԵՐՋՆԱԿԱՆ ԱՐԴՅՈՒՆՔԻ ՑՈՒՑԱՆԻՇՆԵՐԸ</t>
  </si>
  <si>
    <r>
      <t>Նպատակը</t>
    </r>
    <r>
      <rPr>
        <vertAlign val="superscript"/>
        <sz val="8"/>
        <color rgb="FF000000"/>
        <rFont val="GHEA Grapalat"/>
        <family val="3"/>
      </rPr>
      <t xml:space="preserve">1 </t>
    </r>
  </si>
  <si>
    <r>
      <t>Ծրագրի դասիչը</t>
    </r>
    <r>
      <rPr>
        <vertAlign val="superscript"/>
        <sz val="8"/>
        <color rgb="FF000000"/>
        <rFont val="GHEA Grapalat"/>
        <family val="3"/>
      </rPr>
      <t>2</t>
    </r>
  </si>
  <si>
    <r>
      <t>Ծրագրի անվանումը</t>
    </r>
    <r>
      <rPr>
        <vertAlign val="superscript"/>
        <sz val="8"/>
        <color rgb="FF000000"/>
        <rFont val="GHEA Grapalat"/>
        <family val="3"/>
      </rPr>
      <t>3</t>
    </r>
  </si>
  <si>
    <r>
      <t>Չափորոշիչը</t>
    </r>
    <r>
      <rPr>
        <vertAlign val="superscript"/>
        <sz val="8"/>
        <color theme="1"/>
        <rFont val="GHEA Grapalat"/>
        <family val="3"/>
      </rPr>
      <t>4</t>
    </r>
  </si>
  <si>
    <r>
      <t>Ցուցանիշը</t>
    </r>
    <r>
      <rPr>
        <vertAlign val="superscript"/>
        <sz val="8"/>
        <color theme="1"/>
        <rFont val="GHEA Grapalat"/>
        <family val="3"/>
      </rPr>
      <t>5</t>
    </r>
  </si>
  <si>
    <r>
      <t>Ժամկետը</t>
    </r>
    <r>
      <rPr>
        <vertAlign val="superscript"/>
        <sz val="8"/>
        <color theme="1"/>
        <rFont val="GHEA Grapalat"/>
        <family val="3"/>
      </rPr>
      <t>6</t>
    </r>
  </si>
  <si>
    <r>
      <t>Ցուցանիշը</t>
    </r>
    <r>
      <rPr>
        <vertAlign val="superscript"/>
        <sz val="8"/>
        <color theme="1"/>
        <rFont val="GHEA Grapalat"/>
        <family val="3"/>
      </rPr>
      <t>7</t>
    </r>
  </si>
  <si>
    <r>
      <t>Ժամկետը</t>
    </r>
    <r>
      <rPr>
        <vertAlign val="superscript"/>
        <sz val="8"/>
        <color theme="1"/>
        <rFont val="GHEA Grapalat"/>
        <family val="3"/>
      </rPr>
      <t>8</t>
    </r>
  </si>
  <si>
    <r>
      <t>Կապը ՀՀ կառավարության ծրագրով  և ՀՀ գործող այլ ռազմավարական փաստաթղթերով սահմանված ՀՀ կառավարության քաղաքականության նպատակների և թիրախների հետ</t>
    </r>
    <r>
      <rPr>
        <vertAlign val="superscript"/>
        <sz val="8"/>
        <rFont val="GHEA Grapalat"/>
        <family val="3"/>
      </rPr>
      <t>9</t>
    </r>
  </si>
  <si>
    <r>
      <t>Կապը ՄԱԿ-ի կայուն զարգացման նպատակների և ցուցանիշների հետ</t>
    </r>
    <r>
      <rPr>
        <vertAlign val="superscript"/>
        <sz val="8"/>
        <color rgb="FF000000"/>
        <rFont val="GHEA Grapalat"/>
        <family val="3"/>
      </rPr>
      <t>10</t>
    </r>
  </si>
  <si>
    <t>լրացնել Times Armenian տառատեսակով</t>
  </si>
  <si>
    <t>Ձևաչափ N 1. Նոր նախաձեռնությունների գծով ամփոփ տեղեկատվություն</t>
  </si>
  <si>
    <t>Նշվում է նոր նախաձեռնության շրջանակներում իրականացվող ծախսերի հիմքում դրված պարտավորությունների բնույթը՝ պարտադիր կամ հայեցողական շարունակական կամ հայեցողական ոչ շարունակական</t>
  </si>
  <si>
    <t>Լրացվում է տվյալ միջոցառման տեսակը՝ Ծառայությունների մատուցում, Տրանսֆերտների տրամադրում, Ֆինանսավորման ծախսերի իրականացում և այլն: Միջոցառումների տեսակների սպառիչ ցանկը և դրանց առնչվող տեղեկատվության վերաբերյալ մանրամասն պահանջները ներկայացված են մեթոդական ցուցումների բաղկացուցիչ մաս հանդիսացող «Ծրագրային բյուջետավորման ձևաչափով բյուջետային ծրագրերի և միջոցառումների սահմանման» մեթոդական ձեռնարկով:</t>
  </si>
  <si>
    <t>Լրացվում է 2026 թվականի հաստատված բյուջեն ըստ միջոցառումների:</t>
  </si>
  <si>
    <t>Լրացվում է 2026 թվականի բազային բյուջեն, որի մեջ չեն ներառվում 2026 թվականի այն միջոցառումները կամ միջոցառումների այն ծախսերը, որոնք բազային բյուջեի տարր չեն /օրինակ մեկանգամյա ծախսեր, արտակարգ կամ այլ հրատապ պատճառներով 2026թ. բյուջեում ներառված ծախսային տարրեր:</t>
  </si>
  <si>
    <t>Լրացվում են նոր նախաձեռնությունները, այդ թվում բազային բյուջեի ընդլայնումները և նոր միջոցառումները: Բազային բյուջեի ընդլայնումներ են հայտատուի հայեցողությամբ առաջարկվող ծախսերը, որոնք բազային բյուջեի մաս չեն:</t>
  </si>
  <si>
    <t>Լրացվում են միջոցառումների ծախսերի գծով առաջացած խնայողությունները:</t>
  </si>
  <si>
    <t>ՄԱՍ 1. ՊԵՏԱԿԱՆ ՄԱՐՄՆԻ ԿՈՂՄԻՑ ԻՐԱԿԱՆԱՑՎՈՂ ԲՅՈՒՋԵՏԱՅԻՆ ԾՐԱԳՐԵՐԸ ԵՎ ՄԻՋՈՑԱՌՈՒՄՆԵՐԸ</t>
  </si>
  <si>
    <t>Լրացվում է ծրագրի նպատակը</t>
  </si>
  <si>
    <t xml:space="preserve"> Լրացվում է ծրագրի դասիչը՝ Ծրագրային դասակարգչով սահմանված դասիչներին համապատասխան</t>
  </si>
  <si>
    <t>Լրացվում է ծրագրի անվանումը</t>
  </si>
  <si>
    <t xml:space="preserve"> Լրացվում է ծրագրի վերջնական արդյունքի չափորոշիչը։ </t>
  </si>
  <si>
    <t xml:space="preserve"> Լրացվում է վերջնական արդյունքի չափորոշիչի թիրախային/կանխատեսվող ցուցանիշը, որի նկատմամբ դիտարկվում է վերջնական արդյունքի ցուցանիշների դինամիկան։ Անհրաժեշտ է, հաշվի առնել, որպեսզի ծրագրերի վերջնարդյունքները բխեն ոլորտային քաղաքականության կամ ՀՀ կառավարության ծրագրով սահմանված քաղաքականության թիրախներից:</t>
  </si>
  <si>
    <t xml:space="preserve"> Լրացվում է վերջնական արդյունքի չափորոշիչի թիրախային /կանխատեսվող ժամկետը։</t>
  </si>
  <si>
    <t>Ներկայացնել համապատասխան ծրագրերի գծով սահմանվող վերջնական արդյունքների չափորոշիչների կապը ՀՀ կառավարության ծրագրով և/կամ գործող այլ ռազմավարական փաստաթղթերով սահմանված քաղաքականության կոնկրետ նպատակների և թիրախների հետ, կատարելով հղումներ համապատասխան փաստաթղթերին, ներկայացնելով համապատասխան դրույթներ և փաստաթղթերով սահմանված թիրախային ցուցանիշներ: Ներկայացնել նաև թե ինչպես են ծրագրերի վերջնական արդյունքները նպաստելու համապատասխան քաղաքականության թիրախների իրագործմանը:</t>
  </si>
  <si>
    <t>Ներկայացնել համապատասխան ծրագրերի գծով սահմանվող վերջնական արդյունքների չափորոշիչների կապը ՄԱԿ-ի «Կայուն զարգացման 2030 օրակարգում» ներառված կայուն զարգացման 17 նպատակներն և դրանց գծով սահմանված գլոբալ ցուցանիշների հետ: Այն դեպքերում, երբ միևնույն ծրագիրը կապված է մեկից ավելի զարգացման նպատակների և ցուցանիշների հետ, անհրաժեշտ է նշել համապատասխան նպատակներն ու ցուցանիշները՝ նկարագրելով, թե ինչպես են ծրագրերի վերջնական արդյունքները նպաստելու դրանց իրագործմանը: ՄԱԿ-ի կայուն զարգացման նպպատակների և գլոբալ ցուցանիշների վերաբերյալ մանրամասն տեղեկատվությունը կարելի է ծանոթանալ ՄԱԿ-ի պաշտոնական ինտերնետային կայքից` հետևյալ հղումով (http://un.am/hy/p/sustainabledevelopmentgoals):</t>
  </si>
  <si>
    <t>Լրացվում է վերջնական արդյունքի չափորոշիչի ելակետային փաստացի ցուցանիշը, որի նկատմամբ դիտարկվում է վերջնական արդյունքի ցուցանիշների դինամիկան (որպես ելակետային ցուցանիշ դիտել 2025 թվականի փաստացի ցուցանիշը իսկ անհնարինության դեպքում վերջին փաստացի ցուցանիշը)</t>
  </si>
  <si>
    <t xml:space="preserve"> Լրացվում է վերջնական արդյունքի չափորոշիչի ելակետային ցուցանիշի ժամկետը (որպես ելակետային ժամկետ դիտել 2025 թվականը իսկ անհնարինության դեպքում վերջին փաստացի ցուցանիշի ժամկետը)</t>
  </si>
  <si>
    <t xml:space="preserve">ՄԱՍ 3. ՊԵՏԱԿԱՆ ՄԱՐՄՆԻ ԳԾՈՎ ԱՐԴՅՈՒՆՔԱՅԻՆ (ԿԱՏԱՐՈՂԱԿԱՆ) ՑՈՒՑԱՆԻՇՆԵՐԸ </t>
  </si>
  <si>
    <r>
      <t>Ծրագրի միջոցառումները</t>
    </r>
    <r>
      <rPr>
        <b/>
        <vertAlign val="superscript"/>
        <sz val="10"/>
        <color theme="1"/>
        <rFont val="GHEA Grapalat"/>
        <family val="3"/>
      </rPr>
      <t>1</t>
    </r>
  </si>
  <si>
    <t xml:space="preserve">2026թ. (պլան) </t>
  </si>
  <si>
    <t>2025թ.  (փաստացի)</t>
  </si>
  <si>
    <t xml:space="preserve">2025թ.  (փաստացի) </t>
  </si>
  <si>
    <t xml:space="preserve"> Ձևաչափում տեղեկատվությունը ներկայացվում է պետական մարմնին տրամադրվող հատկացումների շրջանակներում իրականացվող յուրաքանչյուր միջոցառման գծով՝ խմբավորված ըստ առանձին ծրագրերի </t>
  </si>
  <si>
    <r>
      <t xml:space="preserve">Միջոցառման տեսակը </t>
    </r>
    <r>
      <rPr>
        <vertAlign val="superscript"/>
        <sz val="11"/>
        <color theme="1"/>
        <rFont val="Calibri"/>
        <family val="2"/>
        <scheme val="minor"/>
      </rPr>
      <t>2</t>
    </r>
  </si>
  <si>
    <r>
      <t>Միջոցառումն իրականացնողի անվանումը</t>
    </r>
    <r>
      <rPr>
        <vertAlign val="superscript"/>
        <sz val="8"/>
        <color theme="1"/>
        <rFont val="GHEA Grapalat"/>
        <family val="3"/>
      </rPr>
      <t>3</t>
    </r>
  </si>
  <si>
    <r>
      <t>Արդյունքի չափորոշիչի տեսակը</t>
    </r>
    <r>
      <rPr>
        <vertAlign val="superscript"/>
        <sz val="8"/>
        <color rgb="FF000000"/>
        <rFont val="GHEA Grapalat"/>
        <family val="3"/>
      </rPr>
      <t>4</t>
    </r>
  </si>
  <si>
    <t xml:space="preserve">Ծառայությունների դեպքում լրացվում է ծառայությունը մատուցող կազմակերպության(ների) անվանում(ներ)ը (օրինակ՝ դպրոցներ, հիվանդանոցներ, թատրոններ, թանգարաններ և այլն): Հանրային սեփականության կառավարման միջոցառումների դեպքում՝ լրացվում է ակտիվն օգտագործող կազմակերպության(ների) անվանում(ներ)ը, Տրանսֆերտների դեպքում՝ շահառուների ընտրության չափանիշները: </t>
  </si>
  <si>
    <t xml:space="preserve">Լրացվում է ոչ ֆինանսական չափորոշիչի տեսակը (քանակի, որակի, ծածկույթի, ժամկետի և այլ չափորոշիչ): Միջոցառման գծով այլ ֆինանսական չափորոշիչ (օրինակ՝ մատուցվող ծառայության  միավորի գինը և այլն) սահմանված լինելու դեպքում այս դաշտում լրացվում է &lt;Ոչ ֆինանսական չափորոշիչ&gt; բառերը: Յուրաքանչյուր չափորոշիչի վերաբերյալ տեղեկատվությունն անհրաժեշտ է ներկայացնել առանձին տողով: Ոչ ֆինանսական չափորոշիչներ և ցուցանիշներ չեն ներկայացվում պետական մարմինների ներքին ծառայությունների համար նախատեսվող վարչական բնույթի միջոցառումների համար: Այն ծրագրերի և միջոցառումների դեպքում, որոնք առնչվում են միջոլորտային (խաչվող) քաղաքականությունների նպատակների և գերակայությունների (գենդերային քաղաքականություն, կորոնավիրուսի համավարակի հետևանքների հաղթահարում, 2020թ Արցախյան պատերազմի հետևանքների հաղթահարում/տնտեսության հետպատերազմյան վերականգնում) հետ, ոչ-ֆինանսական արդյունքների  ցուցանիշների կազմում անհրաժեշտ է ներառել նաև այդ քաղաքականություններին առնչվող, այդ թվում՝ գենդերային զգայուն ոչ-ֆինանսական ցուցանիշներ: </t>
  </si>
  <si>
    <t>Միջոցառման տեսակը</t>
  </si>
  <si>
    <t>Միջոցառումն իրականացնողի անվանումը</t>
  </si>
  <si>
    <t>Արդյունքի չափորոշիչի տեսակը</t>
  </si>
  <si>
    <t>Միջոցառման վրա կատարվող ծախսը</t>
  </si>
  <si>
    <t xml:space="preserve"> Բացել բյուջետային ծախսերը ըստ բյուջետային ծախսերի գործառական դասակարգման առանձին կատեգորիաների մակարդակով </t>
  </si>
  <si>
    <t xml:space="preserve"> Բացել բյուջետային ծախսերը առանձին մարզերի մակարդակով</t>
  </si>
  <si>
    <r>
      <t>Ձևաչափ 1. Արտաքին աղբյուրներից ստացվող նպատակային վարկային և դրամաշնորհային ծախսային ծրագրեր</t>
    </r>
    <r>
      <rPr>
        <b/>
        <vertAlign val="superscript"/>
        <sz val="10"/>
        <rFont val="GHEA Grapalat"/>
        <family val="3"/>
      </rPr>
      <t>1</t>
    </r>
  </si>
  <si>
    <r>
      <t xml:space="preserve">Տնտեսագիտական դասակարգման </t>
    </r>
    <r>
      <rPr>
        <vertAlign val="superscript"/>
        <sz val="8"/>
        <rFont val="GHEA Grapalat"/>
        <family val="3"/>
      </rPr>
      <t>2</t>
    </r>
  </si>
  <si>
    <t>Եթե նվիրատվությունները ստացվում են նաև արտաքին աղբյուրներից, ապա դրանք համառոտ նկարագրել ըստ յուրաքանչյուր նվիրատուի</t>
  </si>
  <si>
    <t>Ծախսերը ներկայացնել նաև դրամով՝ կիրառելով փետրվարի 1-ի արտարժույթի ԿԲ փոխարժեքը</t>
  </si>
  <si>
    <t xml:space="preserve">Յուրաքանչյուր միջոցառման գծով բյուջետային ծախսերը բացել բյուջետային ծախսերի տնտեսագիտական դասակարգման առանձին կատեգորիաների, հոդվածների  մակարդակով </t>
  </si>
  <si>
    <t>Ձևաչափ 2. Արտաքին աղբյուրներից ստացվող միջոցների հաշվին իրականացվող ենթավարկային ծրագրերը1</t>
  </si>
  <si>
    <r>
      <t>Հավելված N 9. Միջոլորտային (խաչվող) առանձին քաղաքականություններին առնչվող ծրագրերի և միջոցառումների ներկայացման ամփոփ ձևաչափ</t>
    </r>
    <r>
      <rPr>
        <b/>
        <vertAlign val="superscript"/>
        <sz val="10"/>
        <color theme="1"/>
        <rFont val="GHEA Grapalat"/>
        <family val="3"/>
      </rPr>
      <t xml:space="preserve"> 1</t>
    </r>
    <r>
      <rPr>
        <b/>
        <i/>
        <sz val="12"/>
        <color theme="1"/>
        <rFont val="GHEA Grapalat"/>
        <family val="3"/>
      </rPr>
      <t xml:space="preserve"> </t>
    </r>
  </si>
  <si>
    <r>
      <t xml:space="preserve">Քաղաքականությունը՝ </t>
    </r>
    <r>
      <rPr>
        <vertAlign val="superscript"/>
        <sz val="9"/>
        <color theme="1"/>
        <rFont val="GHEA Grapalat"/>
        <family val="3"/>
      </rPr>
      <t>2</t>
    </r>
  </si>
  <si>
    <r>
      <t xml:space="preserve">Նպատակը՝ </t>
    </r>
    <r>
      <rPr>
        <vertAlign val="superscript"/>
        <sz val="9"/>
        <color theme="1"/>
        <rFont val="GHEA Grapalat"/>
        <family val="3"/>
      </rPr>
      <t>3</t>
    </r>
  </si>
  <si>
    <t>Ակնկալվող արդյունքները՝4</t>
  </si>
  <si>
    <r>
      <t xml:space="preserve">Առկա իրավիճակի նկարագրությունը՝ </t>
    </r>
    <r>
      <rPr>
        <vertAlign val="superscript"/>
        <sz val="9"/>
        <color theme="1"/>
        <rFont val="GHEA Grapalat"/>
        <family val="3"/>
      </rPr>
      <t>5</t>
    </r>
  </si>
  <si>
    <t xml:space="preserve"> Յուրաքանչյուր առանձին միջոլորտային (խաչվող) քաղաքականության համար լրացվում է առանձին ձևաչափ: </t>
  </si>
  <si>
    <t>Նշվում է միջոլորտային (խաչվող) քաղաքականության անվանումը: Խոսքը վերաբերվում է այնպիսի քաղաքականությունների մասին, որոնց արդյունքներն ու դրանց շրջանակներում իրականացվող միջոցառումներն առնչվում են մեկից ավելի ոլորտների, նպատակների և գերատեսչությունների հետ և առկա ծրագրային կառուցվածքը հնարավորություն չի տալիս արդյունավետ կերպով առանձնացնել այդ քաղաքականություններին ուղղված ծախսերը (օրինակ՝ գենդերային քաղաքականություն, կորոնավիրուսի համավարակի հետևանքների հաղթահարում և այլն):</t>
  </si>
  <si>
    <t>Նշվում է տվյալ խաչվող քաղաքականության նպատակ(ներ)ը:  Հնարավորության դեպքում անհրաժեշտ է կատարել հղումներ ՀՀ կառավարության համապատասխան նպատակներն ու գերակայությունները սահմանող փաստաթղթերին:</t>
  </si>
  <si>
    <t>Նշվում է տվյալ քաղաքականության շրջանակներում միջինժամկետ հատվածում ակնկալվող հիմնական արդյունքները: Արդյունքները նկարագրելիս հնարավորության սահմաններում անհրաժեշտ է ներկայացնել այն հիմնական վերջնական արդյունքները, որոնց նպաստելու են ներկայացված  միջոցառումների իրականացումը:</t>
  </si>
  <si>
    <t xml:space="preserve"> Ներկայացվում է համապատասխան խաչվող քաղաքականության իրականացման հետ կապված իրավիճակի նկարագրությունը: Ներկայացվում է տվյալ քաղաքականության շրջանակներում պետական մարմնի պատասխանատվությամբ իրականացվող ծրագրերի և միջոցառումների գծով վերջին միտումները ինչպես ոչ ֆինանսական, այնպես էլ ֆինանսական ցուցանիշների մակարդակով:</t>
  </si>
  <si>
    <t xml:space="preserve"> Լրացվում է համապատասխան խաչվող քաղաքականությանն առնչվող միջոցառումների (գոյություն ունեցող պարտավորություններ և նոր նախաձեռնություններ հանդիսացող) գծով համապատասխան տարիների համար հաշվարկված ծախսերը: </t>
  </si>
  <si>
    <t>Ներկայացվում է տեղեկատվություն համապատասխան խաչվող քաղաքականությանը տվյալ միջոցառման առնչության վերաբերյալ: Առնչությունը ներկայացնելիս, անհրաժեշտ է հստակեցնել, թե ինչպես է տվյալ միջոցառումը նպաստելու խաչվող քաղաքականության նպատակների իրականացմանը, այդ թվում՝ այն հիմնավորելով համապատասխան արդյունքային ցուցանիշներով: Այն դեպքում, երբ միջոցառման շրջանակներում իրականացվող ծախսերի միայն մի մասն է առնչվում խաչվող քաղաքականությանը, անհրաժեշտ է այդ մասին կատարել նշում՝ հնարավորության դեպքում նկարագրելով միջոցառման առնչվող բաղադրիչ(ներ)ը:</t>
  </si>
  <si>
    <r>
      <t>Առնչությունը խաչվող քաղաքականությանը</t>
    </r>
    <r>
      <rPr>
        <vertAlign val="superscript"/>
        <sz val="8"/>
        <color theme="1"/>
        <rFont val="GHEA Grapalat"/>
        <family val="3"/>
      </rPr>
      <t>7</t>
    </r>
  </si>
  <si>
    <r>
      <t>Միջոցառման գծով ծախսերը (հազ. դրամ)</t>
    </r>
    <r>
      <rPr>
        <vertAlign val="superscript"/>
        <sz val="8"/>
        <color theme="1"/>
        <rFont val="GHEA Grapalat"/>
        <family val="3"/>
      </rPr>
      <t>6</t>
    </r>
  </si>
  <si>
    <t xml:space="preserve"> Ներկայացնել 1-5 թվանշանով, որտեղ 1 թվանշանը ենթադրում է առավել բարձր հավանականություն:</t>
  </si>
  <si>
    <r>
      <t>Տեսակ</t>
    </r>
    <r>
      <rPr>
        <vertAlign val="superscript"/>
        <sz val="11"/>
        <rFont val="GHEA Grapalat"/>
        <family val="3"/>
      </rPr>
      <t>1</t>
    </r>
  </si>
  <si>
    <r>
      <t>Իրավական հիմք</t>
    </r>
    <r>
      <rPr>
        <vertAlign val="superscript"/>
        <sz val="11"/>
        <rFont val="GHEA Grapalat"/>
        <family val="3"/>
      </rPr>
      <t>2</t>
    </r>
  </si>
  <si>
    <r>
      <t>Միջոցառման սկզբի տարեթիվ</t>
    </r>
    <r>
      <rPr>
        <vertAlign val="superscript"/>
        <sz val="11"/>
        <color theme="1"/>
        <rFont val="GHEA Grapalat"/>
        <family val="3"/>
      </rPr>
      <t>3</t>
    </r>
  </si>
  <si>
    <t>2026թ. հաստատված բյուջե,</t>
  </si>
  <si>
    <t>Լրացվում է միջոցառման տեսակը՝ ընթացիկ կամ կապիտալ:</t>
  </si>
  <si>
    <t>Լրացվում է միջոցառման հիմքը՝ միջազգային համաձայնագիր, միջազգային պայմանագիր, կառավարության որոշում:</t>
  </si>
  <si>
    <t>Հավելված 3.</t>
  </si>
  <si>
    <t>Լրացվում է իրականացվող ծախսերի հիմքում դրված պարտավորությունների բնույթը՝ պարտադիր կամ հայեցողական շարունակական կամ հայեցողական ոչ շարունակական.</t>
  </si>
  <si>
    <t>Լրացվում է միջոցառման սկիզբը՝ անկախ ՄԺԾԾ ժամանակամիջոցից:</t>
  </si>
  <si>
    <t>ՄԱՍ 2 ՊԵՏԱԿԱՆ ՄԱՐՄՆԻ ԾՐԱԳՐԵՐԻ ԳԾՈՎ ՎԵՐՋՆԱԿԱՆ ԱՐԴՅՈՒՆՔԻ ՑՈՒՑԱՆԻՇՆԵՐԸ</t>
  </si>
  <si>
    <r>
      <t>ՄԱՍ 3. ՊԵՏԱԿԱՆ ՄԱՐՄՆԻ ԳԾՈՎ ԱՐԴՅՈՒՆՔԱՅԻՆ (ԿԱՏԱՐՈՂԱԿԱՆ) ՑՈՒՑԱՆԻՇՆԵՐԸ</t>
    </r>
    <r>
      <rPr>
        <vertAlign val="superscript"/>
        <sz val="11"/>
        <color theme="1"/>
        <rFont val="Calibri"/>
        <family val="2"/>
        <scheme val="minor"/>
      </rPr>
      <t xml:space="preserve"> 21</t>
    </r>
  </si>
  <si>
    <t>3. Ընդամենը ներկայացված ընդհանուր ծախսերը` 2027-2029 թթ. ՄԺԾԾ համար (տող 3.1 + տող 3.2 + տող 3.3.)</t>
  </si>
  <si>
    <t>2027-2029թթ. ընդհանուր ծախսերի համեմատությունը ՀՀ 2026թ. պետական բյուջեով հաստատված 2026 թվականի բյուջեի և 2027-2028 թվականների կողմնորոշիչ չափաքանակների հետ</t>
  </si>
  <si>
    <t>*1-ին և 5-րդ տողերը լրացվում են, եթե հայտատու մարմնին տրամադրվել է  նախնական ընդհանուր կողմնորոշիչ չափաքանակ</t>
  </si>
  <si>
    <t>Սույն հավելվածը լրացվում է 2027թ. բյուջետային հայտի  ներկայացման փուլում</t>
  </si>
  <si>
    <t>Շրջակա միջավայրի վրա ազդեցության գնահատում և մոնիթորինգ</t>
  </si>
  <si>
    <t>Ընդամենը շրջակա միջավայրի  նախարարություն
այդ թվում`</t>
  </si>
  <si>
    <r>
      <t xml:space="preserve"> Միջոցառման տեսակը</t>
    </r>
    <r>
      <rPr>
        <vertAlign val="superscript"/>
        <sz val="8"/>
        <rFont val="GHEA Grapalat"/>
        <family val="3"/>
      </rPr>
      <t>1</t>
    </r>
  </si>
  <si>
    <r>
      <t>Միջոցառման գծով առաջարկը ներառյալ բազային բյուջեի ընդլայնումները</t>
    </r>
    <r>
      <rPr>
        <vertAlign val="superscript"/>
        <sz val="8"/>
        <color theme="1"/>
        <rFont val="GHEA Grapalat"/>
        <family val="3"/>
      </rPr>
      <t>4</t>
    </r>
    <r>
      <rPr>
        <sz val="8"/>
        <color theme="1"/>
        <rFont val="GHEA Grapalat"/>
        <family val="3"/>
      </rPr>
      <t>, նոր նախաձեռնությունները</t>
    </r>
  </si>
  <si>
    <r>
      <t>Ծախսային խնայողության գծով առաջարկը (-)</t>
    </r>
    <r>
      <rPr>
        <vertAlign val="superscript"/>
        <sz val="8"/>
        <color theme="1"/>
        <rFont val="GHEA Grapalat"/>
        <family val="3"/>
      </rPr>
      <t>5</t>
    </r>
  </si>
  <si>
    <r>
      <t>Միջոցառման հիմքում դրված ծախսային պարտավորության բնույթը</t>
    </r>
    <r>
      <rPr>
        <vertAlign val="superscript"/>
        <sz val="8"/>
        <color theme="1"/>
        <rFont val="GHEA Grapalat"/>
        <family val="3"/>
      </rPr>
      <t>6</t>
    </r>
  </si>
  <si>
    <r>
      <t>2026թ. 
(հաստատված)</t>
    </r>
    <r>
      <rPr>
        <vertAlign val="superscript"/>
        <sz val="8"/>
        <color theme="1"/>
        <rFont val="GHEA Grapalat"/>
        <family val="3"/>
      </rPr>
      <t>2</t>
    </r>
  </si>
  <si>
    <r>
      <t>2026թ. 
(բազային)</t>
    </r>
    <r>
      <rPr>
        <vertAlign val="superscript"/>
        <sz val="8"/>
        <color theme="1"/>
        <rFont val="GHEA Grapalat"/>
        <family val="3"/>
      </rPr>
      <t>3</t>
    </r>
  </si>
  <si>
    <t>Ընթացիկ</t>
  </si>
  <si>
    <t>Կապիտալ</t>
  </si>
  <si>
    <t xml:space="preserve">Գերմանիայի զարգացման վարկերի բանկի (KFW)  դրամաշնորհային ծրագիր </t>
  </si>
  <si>
    <t>Ցուցանիշը առանց KFW-ի և ԲԾԻԳ-ի դրամաշնորհային ծրագրերի</t>
  </si>
  <si>
    <t xml:space="preserve"> Շրջակա միջավայրի վրա ազդեցության գնահատում և փորձաքննություն</t>
  </si>
  <si>
    <t xml:space="preserve"> Ծառայությունների մատուցում </t>
  </si>
  <si>
    <t>«Անցում էլեկտրական շարժունակությանը Հայաստանում» դրամաշնորհային ծրագրի կազմակերպչական աշխատանքների իրականացում</t>
  </si>
  <si>
    <t>«Շենքերի ոլորտում չափողականություն, հաշվետվողականություն և հավաստագրում (ՉՀՀ)» համակարգի ստեղծում և գիտելիքների կառավարում</t>
  </si>
  <si>
    <t xml:space="preserve"> ՀՀ հանրային նշանակության շենքերի և այլ հասարակական կառույցների էներգախնայողության հաշվարկման  համակարգի ստեղծման, ենթաօրենսդրական փաթեթի մշակման և համակարգի արդյունավետության վերաբերյալ տեղեկատվության հանրայնացման աշխատանքների իրականացում </t>
  </si>
  <si>
    <t>«Հայաստանի դիմակայուն լանդշաֆտներ» ծրագրի նախապատրաստման դրամաշնորհային ծրագիր</t>
  </si>
  <si>
    <t>«Սևանի լճի ավազանում հողային ռեսուրսների և արժեքավոր էկոհամակարգերի պահպանում և կայուն կառավարում՝ ուղղված բազմակի օգուտների»</t>
  </si>
  <si>
    <t>«Շրջակա միջավայրի վրա ազդեցության փորձաքննական
կենտրոն» ՊՈԱԿ-ի տեխնիկական հագեցվածության բարելավում</t>
  </si>
  <si>
    <t xml:space="preserve">  «Հիդրոօդերևութաբանության և մոնիթորինգի կենտրոն» ՊՈԱԿ-ի տեխնիկական միջոցների արդիականացում և նոր սարքավորումների ձեռք բերում</t>
  </si>
  <si>
    <t xml:space="preserve">Հիդրոօդերևութաբանության և մոնիթորինգի կենտրոն» ՊՈԱԿ-ի տեխնիկական միջոցների արդիականացման և նոր սարքավորումներով համալրման աշխատանքների իրականացում </t>
  </si>
  <si>
    <t xml:space="preserve">Շրջակա միջավայրի վրա ազդեցության գնահատման և փորձաքննության աշխատանքներ </t>
  </si>
  <si>
    <t xml:space="preserve">Ծառայությունների մատուցում </t>
  </si>
  <si>
    <t xml:space="preserve">Հիդրոօդերևութաբանություն, շրջակա միջավայրի մոնիթորինգի տեղեկատվության տրամադրման  աշխատանքներ </t>
  </si>
  <si>
    <t xml:space="preserve">«Անցում էլեկտրական շարժունակությանը Հայաստանում» դրամաշնորհային ծրագրի կազմակերպչական և կառավարման միջոցառումների իրականացման աշխատանքների կազմակերպում </t>
  </si>
  <si>
    <t>Նպաստել շրջակա միջավայրի և բնական ռեսուրսների (բացառությամբ օգտակար հանածոների)
պահպանությանը</t>
  </si>
  <si>
    <t>Շրջակա միջավայրի վերաբերյալ ամբողջական տեղեկատվության հրապարակում</t>
  </si>
  <si>
    <t>Շրջակա միջավայրի ոլորտում պետական քաղաքականության մշակում, ծրագրերի համակարգում և մոնիտորինգ</t>
  </si>
  <si>
    <t>Շրջակա միջավայրի պահպանությանն ուղղված պետական քաղաքականության մշակում և իրականացում</t>
  </si>
  <si>
    <t>Շրջակա միջավայրի պահպանությանն ուղղված օրենսդրական դաշտի բարելավում, իրականացվող ծրագրերի ազդեցության և արդյունավետության աճ</t>
  </si>
  <si>
    <t xml:space="preserve"> Շրջակա միջավայրի ոլորտում քաղաքականության մշակում, ծրագրերի համակարգում և մոնիտորինգ</t>
  </si>
  <si>
    <t xml:space="preserve">Շրջակա միջավայրի պահպանությանն ուղղված օրենսդրական դաշտի բարելավում, իրականացվող ծրագրերի արդյունավետության  ապահովում </t>
  </si>
  <si>
    <t>Շրջակա միջավայրի ոլորտի ծրագրերի իրականացում</t>
  </si>
  <si>
    <t>ՀՀ շրջակա միջավայրի նախարարության տեխնիկական կարողությունների ընդլայնում</t>
  </si>
  <si>
    <t xml:space="preserve">Սևանա լճի ավազանի հողերի դեգրադացիայի նվազեցում և կենսաբազմազանության պահպանում: Ծրագիրը նաև ուղղված է  արոտավայրերի կայուն կառավարմանը և կայուն գյուղատնտեսական գործելակերպերի ապահովմանը`  հատկապես բնության հատուկ պահպանվող տարածքների շրջակայքում: </t>
  </si>
  <si>
    <t xml:space="preserve">«Հայաստանի դիմակայուն լանդշաֆտների ծրագրի» շրջանակներում համապատասխան փաստաթղթերի և ձեռնարկների մշակում և Հյուսիսային Կապան և Տանձուտ լքված հանքավայրերի տեղամասերում ռեկուլտիվացիայի աշխատանքների իրականացում </t>
  </si>
  <si>
    <t>Շրջակա միջավայրի վրա ազդեցության գնահատում և փորձաքննություն</t>
  </si>
  <si>
    <t>Հիդրոօդերևութաբանության, շրջակա  միջավայրի մոնիտորինգ  և տեղեկատվության  ապահովում</t>
  </si>
  <si>
    <t>«Հիդրոօդերևութաբանության և մոնիթորինգի կենտրոն» ՊՈԱԿ-ի տեխնիկական միջոցների արդիականացում և նոր սարքավորումների ձեռք բերում</t>
  </si>
  <si>
    <t xml:space="preserve">Այլ պետական կազմակերպությունների կողմից օգտագործվող ոչ ֆինանսական ակտիվների հետ գործառնություններ </t>
  </si>
  <si>
    <t xml:space="preserve">Պետական մարմինների կողմից օգտագործվող ոչ ֆինանսական ակտիվների հետ գործառնություններ </t>
  </si>
  <si>
    <t xml:space="preserve">Շրջակա միջավայրի ոլորտի  ծրագրերի մշակում և իրականացման համակարգում </t>
  </si>
  <si>
    <t xml:space="preserve">Համակարգչային սարքավորումների և գրասենյակային գույքի ձեռքբերում </t>
  </si>
  <si>
    <t>Շրջակա միջավայրի ոլորտում քաղաքականության մշակում, ծրագրերի համակարգում և մոնիտորինգ</t>
  </si>
  <si>
    <t>Բնապահպանական ծրագրերի իրականացում համայնքներում</t>
  </si>
  <si>
    <t>Տնտեսական գործունեության հետևանքով շրջակա միջավայրին և բնակչության առողջությանը պատճառված վնասների մեղմմանն ուղղված ծրագրերի իրականացման համակարգում</t>
  </si>
  <si>
    <t>Ազդակիր համայնքներում բարելավված շրջակա միջավայր</t>
  </si>
  <si>
    <t xml:space="preserve"> Բնապահպանական սուբվենցիաներ համայնքներին</t>
  </si>
  <si>
    <t>Բնապահպանական սուբվենցիաներ համայնքներին</t>
  </si>
  <si>
    <t xml:space="preserve">Տնտեսական գործունեության հետևանքով շրջակա միջավայրին և բնակչության առողջությանը պատճառված վնասների մեղմմանն ուղղված ծրագրերի իրականացման աջակցություն ազդակիր համայնքներին </t>
  </si>
  <si>
    <t xml:space="preserve">Տրանսֆերտների տրամադրում </t>
  </si>
  <si>
    <t>Բնական ռեսուրսների և բնության հատուկ պահպանվող տարածքների կառավարում</t>
  </si>
  <si>
    <t xml:space="preserve">Բնական ռեսուրսներիև կենսաբազմազանության արդյունավետ կառավարում </t>
  </si>
  <si>
    <t>Բնական պաշարների և կենսաբազմազանության վերարտադրության աճի ապահովում</t>
  </si>
  <si>
    <t>Գերմանիայի զարգացման վարկերի բանկի (KFW) կողմից տրամադրվող դրամաշնորհային ծրագրի շրջանակներում ՀՀ Սյունիքի մարզի բնության հատուկ պահպանվող տարածքների կառավարման բարելավմանն ուղղված ծրագրերի իրականացում</t>
  </si>
  <si>
    <t>ՀՀ Սյունիքի մարզի բնության հատուկ պահպանվող տարածքների
կառավարման և հարակից համայնքների սոցիալ-տնտեսական
վիճակի բարելավմանն ուղղված ծրագրերի մշակման և
նախագծման աշխատանքների իրականացում</t>
  </si>
  <si>
    <t>Ծառայությունների մատուցում</t>
  </si>
  <si>
    <t xml:space="preserve"> Սևանա լճում և նրա ջրահավաք ավազանում ձկան և խեցգետնի պաշարների հաշվառում</t>
  </si>
  <si>
    <t xml:space="preserve"> «Սևան» ազգային պարկի կառավարում</t>
  </si>
  <si>
    <t xml:space="preserve"> «Դիլիջան» ազգային պարկի կառավարում</t>
  </si>
  <si>
    <t>«Դիլիջան» ազգային պարկի տարածքում  գիտական ուսումնասիրությունների և  անտառատնտեսական աշխատանքների կատարում</t>
  </si>
  <si>
    <t xml:space="preserve"> «Արգելոցապարկային համալիր» բնության հատուկ պահպանվող տարածքների կառավարում</t>
  </si>
  <si>
    <t xml:space="preserve">«Արգելոցապարկային համալիր» ԲՀՊ տարածքներում  գիտական ուսումնասիրությունների և  անտառատնտեսական աշխատանքների կատարում </t>
  </si>
  <si>
    <t xml:space="preserve"> «Խոսրովի անտառ» պետական արգելոցի կառավարում</t>
  </si>
  <si>
    <t xml:space="preserve"> «Խոսրովի անտառ» պետական արգելոցի տարածքում   գիտական ուսումնասիրությունների և  անտառատնտեսական  աշխատանքների կատարում </t>
  </si>
  <si>
    <t xml:space="preserve"> «Արփի լիճ» ազգային պարկի կառավարում</t>
  </si>
  <si>
    <t xml:space="preserve">«Արփի լիճ» ազգային պարկի գիտական ուսումնասիրությունների կատարում </t>
  </si>
  <si>
    <t xml:space="preserve">  «Զանգեզուր կենսոլորտային համալիր» բնության հատուկ պահպանվող տարածքների կառավարում</t>
  </si>
  <si>
    <t>Որսի օբյեկտ հանդիսացող կենդանիների հաշվառում</t>
  </si>
  <si>
    <t xml:space="preserve"> Սևանի իշխանի պաշարների վերականգնման և ձկնաբուծության զարգացման հիմնադրամի առողջացմանն ուղղված աջակցություն</t>
  </si>
  <si>
    <t xml:space="preserve"> Սևանի իշխանի պաշարների վերականգնման և ձկնաբուծության զարգացմանհիմնադրամի ծրագրի առողջացմանն ուղղված աջակցության տրամադրում </t>
  </si>
  <si>
    <t>Գերմանիայի զարգացման վարկերի բանկի (KFW) աջակցությամբ իրականացվող դրամաշնորհային ծրագրի շրջանակներում Սյունիքի մարզի ԲՀՊՏ-ներին, անտառային տարածքների, ոլորտի պետական կառույցների տեխնիկական կարողությունների բարելավում</t>
  </si>
  <si>
    <t>Այլ պետական կազմակերպությունների կողմից օգտագործվող ոչ
ֆինանսական ակտիվների հետ գործառնություննե</t>
  </si>
  <si>
    <t>ՀՀ բնության հուշարձանների ուսումնասիրություն և անձնագրավորում</t>
  </si>
  <si>
    <t xml:space="preserve">ՀՀ  բնության հուշարձանների ուսումնասիրության, վերջիններիս իրավունքի պետական գրանցման և անձնագրավորման աշխատանքների իրականացում </t>
  </si>
  <si>
    <t>Սյունիքի մարզի բնության հատուկ պահպանվող տարածքների և անտառային տարածքների պահպանությունն իրականացնող
պետական կազմակերպությունների կարողությունների հզորացում</t>
  </si>
  <si>
    <t>Սևանա լճում և նրա ջրահավաք ավազանում ձկան և խեցգետնի պաշարների հաշվառում</t>
  </si>
  <si>
    <t>«Սևան» ազգային պարկի կառավարում</t>
  </si>
  <si>
    <t>«Դիլիջան» ազգային պարկի կառավարում</t>
  </si>
  <si>
    <t>«Արգելոցապարկային համալիր» բնության հատուկ պահպանվող տարածքների կառավարում</t>
  </si>
  <si>
    <t>«Խոսրովի անտառ» պետական արգելոցի կառավարում</t>
  </si>
  <si>
    <t>«Արփի լիճ» ազգային պարկի կառավարում</t>
  </si>
  <si>
    <t>«Զանգեզուր կենսոլորտային համալիր» բնության հատուկ պահպանվող տարածքների կառավարում</t>
  </si>
  <si>
    <t>Սևանի իշխանի պաշարների վերականգնման և ձկնաբուծության զարգացման հիմնադրամի առողջացմանն ուղղված աջակցություն</t>
  </si>
  <si>
    <t xml:space="preserve">Սևանա լճում և նրա ջրահավաք ավազանում ձկան և խեցգետնի պաշարների հաշվառման աշխատանքներ </t>
  </si>
  <si>
    <t xml:space="preserve">«Սևան» ազգային պարկի տարածքում  գիտական ուսումնասիրությունների և  անտառատնտեսական  աշխատանքների կատարում </t>
  </si>
  <si>
    <t xml:space="preserve">«Զանգեզուր» կենսոլորտային համալիր  ԲՀՊ տարածքներում  գիտական ուսումնասիրությունների և  անտառատնտեսական աշխատանքների կատարում </t>
  </si>
  <si>
    <t xml:space="preserve">Որսի օբյեկտ հանդիսացող կենդանիների հաշվառման և ստացված տվյալների հիման վրա պետական կադաստրի վարման աշխատանքների իրականացում </t>
  </si>
  <si>
    <t>Անտառների կառավարում</t>
  </si>
  <si>
    <t>Անտառային տարածքների կայուն կառավարում</t>
  </si>
  <si>
    <t>Կայուն կառավարվող անտառային տարածքների աճ</t>
  </si>
  <si>
    <t xml:space="preserve"> Էկոպարեկային ծառայություն </t>
  </si>
  <si>
    <t xml:space="preserve">Անտառներում և բնության հատուկ պահպանվող տարածքներում պահպանության իրականացում և համակարգում </t>
  </si>
  <si>
    <t xml:space="preserve"> Անտառների կադաստրի վարում</t>
  </si>
  <si>
    <t xml:space="preserve"> Անտառների վնասակար օրգանիզմների դեմ պայքար</t>
  </si>
  <si>
    <t>Էկոպարեկային ծառայության տեխնիկական կարողությունների ընդլայնում</t>
  </si>
  <si>
    <t xml:space="preserve"> Անտառվերականգնման և անտառապատման աշխատանքներ</t>
  </si>
  <si>
    <t xml:space="preserve">Էկոպարեկային ծառայություն </t>
  </si>
  <si>
    <t>Անտառկառավարման և անտառտնտեսության վարման ծառայություններ</t>
  </si>
  <si>
    <t>Անտառների կադաստրի վարում</t>
  </si>
  <si>
    <t>Անտառների վնասակար օրգանիզմների դեմ պայքար</t>
  </si>
  <si>
    <t>Անտառվերականգնման և անտառապատման աշխատանքներ</t>
  </si>
  <si>
    <t xml:space="preserve">Անտառային տարածքների կառավարման և անտառտնտեսական  աշխատանքների կատարման ծառայություններ </t>
  </si>
  <si>
    <t>Անտառածածկ տարածքներում վնասատուների և հիվանդությունների դեմ պայքար</t>
  </si>
  <si>
    <t xml:space="preserve">Անտառվերականգնման և անտառապատման աշխատանքների իրականացում </t>
  </si>
  <si>
    <t xml:space="preserve"> Բնագիտական նմուշների պահպանություն և ցուցադրություն</t>
  </si>
  <si>
    <t>Նպաստել բնապահպանական աշխարհայացքի ձևավորմանը, բնակչության էկոլոգիական դաստիարակությանը</t>
  </si>
  <si>
    <t>Մշտական և ժամանակավոր ցուցահանդեսների միջոցով հավաքածուները ներկայացնել հանրությանը և իրականացնել բնապահպանական քարոզչություն</t>
  </si>
  <si>
    <t>Բնագիտական նմուշների պահպանություն և ցուցադրություն</t>
  </si>
  <si>
    <t xml:space="preserve">Հայաստանին բնորոշ բնության օբյեկտների  նմուշների պահպանում, ֆոնդերի թարմացում, նմուշների ցուցահանդեսների կազմակերպում </t>
  </si>
  <si>
    <t>05</t>
  </si>
  <si>
    <t>06</t>
  </si>
  <si>
    <t>01</t>
  </si>
  <si>
    <t xml:space="preserve"> Շրջակա միջավայրի վրա ազդեցության գնահատում և մոնիթորինգ</t>
  </si>
  <si>
    <t xml:space="preserve"> ՀՀ շրջակա միջավայրի նախարարություն</t>
  </si>
  <si>
    <t xml:space="preserve"> այդ թվում` բյուջետային ծախսերի տնտեսագիտական դասակարգման հոդվածներ</t>
  </si>
  <si>
    <t xml:space="preserve"> ԸՆԴԱՄԵՆԸ ԾԱԽՍԵՐ</t>
  </si>
  <si>
    <t xml:space="preserve"> ԸՆԹԱՑԻԿ ԾԱԽՍԵՐ</t>
  </si>
  <si>
    <t xml:space="preserve"> ԴՐԱՄԱՇՆՈՐՀՆԵՐ</t>
  </si>
  <si>
    <t xml:space="preserve"> Ընթացիկ դրամաշնորհներ պետական հատվածի այլ մակարդակներին</t>
  </si>
  <si>
    <t xml:space="preserve"> - Ընթացիկ դրամաշնորհներ պետական և համայնքների ոչ առևտրային կազմակերպություններին</t>
  </si>
  <si>
    <t xml:space="preserve"> Հիդրոօդերևութաբանություն, շրջակա միջավայրի մոնիթորինգ և տեղեկատվության ապահովում</t>
  </si>
  <si>
    <t xml:space="preserve"> «Անցում էլեկտրական շարժունակությանը Հայաստանում» դրամաշնորհային ծրագրի կազմակերպչական աշխատանքների իրականացում</t>
  </si>
  <si>
    <t xml:space="preserve"> ԱՇԽԱՏԱՆՔԻ ՎԱՐՁԱՏՐՈՒԹՅՈՒՆ</t>
  </si>
  <si>
    <t xml:space="preserve"> Դրամով վճարվող աշխատավարձեր և հավելավճարներ</t>
  </si>
  <si>
    <t xml:space="preserve"> - Աշխատողների աշխատավարձեր և հավելավճարներ</t>
  </si>
  <si>
    <t xml:space="preserve"> ԾԱՌԱՅՈՒԹՅՈՒՆՆԵՐԻ  ԵՎ   ԱՊՐԱՆՔՆԵՐԻ  ՁԵՌՔԲԵՐՈՒՄ</t>
  </si>
  <si>
    <t xml:space="preserve"> Ծառայողական գործուղումների գծով ծախսեր</t>
  </si>
  <si>
    <t xml:space="preserve"> - Ներքին գործուղումներ</t>
  </si>
  <si>
    <t xml:space="preserve"> - Արտասահմանյան գործուղումների գծով ծախսեր</t>
  </si>
  <si>
    <t xml:space="preserve"> Պայմանագրային այլ ծառայությունների ձեռքբերում</t>
  </si>
  <si>
    <t xml:space="preserve"> - Տեղեկատվական ծառայություններ</t>
  </si>
  <si>
    <t xml:space="preserve"> - Կառավարչական ծառայություններ</t>
  </si>
  <si>
    <t xml:space="preserve"> - Ներկայացուցչական ծախսեր</t>
  </si>
  <si>
    <t xml:space="preserve"> Նյութեր (Ապրանքներ)</t>
  </si>
  <si>
    <t xml:space="preserve"> - Գրասենյակային նյութեր և հագուստ</t>
  </si>
  <si>
    <t xml:space="preserve"> «Շենքերի ոլորտում չափողականություն, հաշվետվողականություն և հավաստագրում (ՉՀՀ)» համակարգի ստեղծում և գիտելիքների կառավարում</t>
  </si>
  <si>
    <t xml:space="preserve"> - Ընդհանուր բնույթի այլ ծառայություններ</t>
  </si>
  <si>
    <t xml:space="preserve"> - Հատուկ նպատակային այլ նյութեր</t>
  </si>
  <si>
    <t xml:space="preserve"> «Հայաստանի դիմակայուն լանդշաֆտներ»  դրամաշնորհային ծրագիր</t>
  </si>
  <si>
    <t xml:space="preserve"> Այլ մասնագիտական ծառայությունների ձեռքբերում</t>
  </si>
  <si>
    <t xml:space="preserve"> - Մասնագիտական ծառայություններ</t>
  </si>
  <si>
    <t xml:space="preserve"> - Տրանսպորտային նյութեր</t>
  </si>
  <si>
    <t xml:space="preserve"> ԱՅԼ  ԾԱԽՍԵՐ</t>
  </si>
  <si>
    <t xml:space="preserve"> Այլ ծախսեր</t>
  </si>
  <si>
    <t xml:space="preserve"> «Սևանա լճի ավազանում հողային ռեսուրսների և արժեքավոր էկոհամակարգերի պահպանում և կայուն կառավարում`  ուղղված բազմակի օգուտների»</t>
  </si>
  <si>
    <t xml:space="preserve"> Շարունակական ծախսեր</t>
  </si>
  <si>
    <t xml:space="preserve"> - Գույքի և սարքավորումների վարձակալություն</t>
  </si>
  <si>
    <t xml:space="preserve"> - Կենցաղային և հանրային սննդի նյութեր</t>
  </si>
  <si>
    <t xml:space="preserve"> Կապիտալ դրամաշնորհներ պետական հատվածի այլ մակարդակներին</t>
  </si>
  <si>
    <t xml:space="preserve"> - Կապիտալ սուբվենցիաներ համայնքներին</t>
  </si>
  <si>
    <t xml:space="preserve"> ՈՉ ՖԻՆԱՆՍԱԿԱՆ ԱԿՏԻՎՆԵՐԻ ԳԾՈՎ ԾԱԽՍԵՐ</t>
  </si>
  <si>
    <t xml:space="preserve"> ՀԻՄՆԱԿԱՆ ՄԻՋՈՑՆԵՐ</t>
  </si>
  <si>
    <t xml:space="preserve"> ՄԵՔԵՆԱՆԵՐ  ԵՎ  ՍԱՐՔԱՎՈՐՈՒՄՆԵՐ</t>
  </si>
  <si>
    <t xml:space="preserve"> - Վարչական սարքավորումներ</t>
  </si>
  <si>
    <t xml:space="preserve"> - Այլ մեքենաներ և սարքավորումներ</t>
  </si>
  <si>
    <t xml:space="preserve"> Շրջակա միջավայրի ոլորտում պետական քաղաքականության մշակում, ծրագրերի համակարգում և մոնիտորինգ</t>
  </si>
  <si>
    <t xml:space="preserve"> այդ թվում`</t>
  </si>
  <si>
    <t xml:space="preserve"> - Պարգևատրումներ, դրամական խրախուսումներ և հատուկ վճարներ</t>
  </si>
  <si>
    <t xml:space="preserve"> - Քաղաքացիական, դատական և պետական այլ ծառայողների պարգևատրում</t>
  </si>
  <si>
    <t xml:space="preserve"> - Այլ վարձատրություններ</t>
  </si>
  <si>
    <t xml:space="preserve"> - Էներգետիկ ծառայություններ</t>
  </si>
  <si>
    <t xml:space="preserve"> - Կոմունալ ծառայություններ</t>
  </si>
  <si>
    <t xml:space="preserve"> - Կապի ծառայություններ</t>
  </si>
  <si>
    <t xml:space="preserve"> - Ապահովագրական ծախսեր</t>
  </si>
  <si>
    <t xml:space="preserve"> - Վարչական ծառայություններ</t>
  </si>
  <si>
    <t xml:space="preserve"> - Համակարգչային ծառայություններ</t>
  </si>
  <si>
    <t xml:space="preserve"> - Աշխատակազմի մասնագիտական զարգացման ծառայություններ</t>
  </si>
  <si>
    <t xml:space="preserve"> Ընթացիկ նորոգում և պահպանում (ծառայություններ և նյութեր)</t>
  </si>
  <si>
    <t xml:space="preserve"> - Շենքերի և կառույցների ընթացիկ նորոգում և պահպանում</t>
  </si>
  <si>
    <t xml:space="preserve"> - Մեքենաների և սարքավորումների ընթացիկ նորոգում և պահպանում</t>
  </si>
  <si>
    <t xml:space="preserve"> Հարկեր, պարտադիր վճարներ և տույժեր, որոնք կառավարման տարբեր մակարդակների կողմից կիրառվում են միմյանց նկատմամբ</t>
  </si>
  <si>
    <t xml:space="preserve"> Շրջակա միջավայրի ոլորտի ծրագրերի իրականացում</t>
  </si>
  <si>
    <t xml:space="preserve"> ՀՀ շրջակա միջավայրի նախարարության տեխնիկական կարողությունների ընդլայնում</t>
  </si>
  <si>
    <t xml:space="preserve"> ԱՅԼ ՀԻՄՆԱԿԱՆ ՄԻՋՈՑՆԵՐ</t>
  </si>
  <si>
    <t>04</t>
  </si>
  <si>
    <t xml:space="preserve"> Բնապահպանական ծրագրերի իրականացում համայնքներում</t>
  </si>
  <si>
    <t xml:space="preserve"> Բնական ռեսուրսների և բնության հատուկ պահպանվող տարածքների կառավարում</t>
  </si>
  <si>
    <t xml:space="preserve"> Գերմանիայի զարգացման վարկերի բանկի (KFW) կողմից տրամադրվող դրամաշնորհային ծրագրի շրջանակներում ՀՀ Սյունիքի մարզի  բնության հատուկ պահպանվող տարածքների կառավարման բարելավմանն ուղղված ծրագրերի իրականացում</t>
  </si>
  <si>
    <t xml:space="preserve"> - Այլ ծախսեր</t>
  </si>
  <si>
    <t xml:space="preserve"> 11008</t>
  </si>
  <si>
    <t xml:space="preserve"> Որսի օբյեկտ հանդիսացող կենդանիների հաշվառում</t>
  </si>
  <si>
    <t xml:space="preserve"> - Այլ ընթացիկ դրամաշնորհներ</t>
  </si>
  <si>
    <t xml:space="preserve"> Գերմանիայի զարգացման վարկերի բանկի (KFW) կողմից տրամադրվող դրամաշնորհային ծրագրի շրջանակներում ՀՀ Սյունիքի մարզի բնության հատուկ պահպանվող տարածքների պահպանությունն իրականացնող պետական կազմակերպությունների կարողությունների զարգացում</t>
  </si>
  <si>
    <t xml:space="preserve"> - Նախագծահետազոտական ծախսեր</t>
  </si>
  <si>
    <t xml:space="preserve"> ՀՀ Կոտայքի մարզի բնության հուշարձանների ուսումնասիրություն և անձնագրավորում</t>
  </si>
  <si>
    <t xml:space="preserve"> - Գեոդեզիական  քարտեզագրական ծախսեր</t>
  </si>
  <si>
    <t>02</t>
  </si>
  <si>
    <t xml:space="preserve"> Անտառների կառավարում</t>
  </si>
  <si>
    <t xml:space="preserve"> ՀՀ շրջակա միջավայրի նախարարության էկոպարեկային ծառայություն</t>
  </si>
  <si>
    <t xml:space="preserve"> ՀՀ շրջակա միջավայրի նախարարության անտառային կոմիտե</t>
  </si>
  <si>
    <t>08</t>
  </si>
  <si>
    <r>
      <t>Գործառական դասակարգման</t>
    </r>
    <r>
      <rPr>
        <vertAlign val="superscript"/>
        <sz val="11"/>
        <color theme="1"/>
        <rFont val="Calibri"/>
        <family val="2"/>
        <scheme val="minor"/>
      </rPr>
      <t xml:space="preserve"> 27</t>
    </r>
  </si>
  <si>
    <t>այդ թվում`</t>
  </si>
  <si>
    <t>1.Վճարովի ծառայությունների մատուցումից և աշխատանքների կատարումից</t>
  </si>
  <si>
    <t>«Սևան» ազգային պարկ» ՊՈԱԿ</t>
  </si>
  <si>
    <t>«Դիլիջան» ազգային պարկ» ՊՈԱԿ</t>
  </si>
  <si>
    <t>«Արգելոցապարկային համալիր» ՊՈԱԿ</t>
  </si>
  <si>
    <t>«Խոսրովի անտառ» պետական արգելոց» ՊՈԱԿ</t>
  </si>
  <si>
    <t>«Արփի լիճ» ազգային պարկ» ՊՈԱԿ</t>
  </si>
  <si>
    <t>«Զանգեզուր» կենսոլորտային համալիր» ՊՈԱԿ</t>
  </si>
  <si>
    <t>«Հիդրոօդերևութաբանության և մոնիթորինգի կենտրոն» ՊՈԱԿ</t>
  </si>
  <si>
    <t>«Հայաստանի բնության պետական թանգարան» ՊՈԱԿ</t>
  </si>
  <si>
    <t>«Հայանտառ» ՊՈԱԿ</t>
  </si>
  <si>
    <t>2.  Ստացվող նվիրատվություններից</t>
  </si>
  <si>
    <t>Կովկասի բնության հիմնադրամից ստացված դրամաշնորհային միջոցներից, այդ թվում`</t>
  </si>
  <si>
    <t xml:space="preserve"> Պարտադիր վճարներ</t>
  </si>
  <si>
    <t>«Սևանա լճի ավազանում հողային ռեսուրսների և արժեքավոր էկոհամակարգերի պահպանում և կայուն կառավարում՛ ուղղված բազմակի օգուտների» դրամաշնորհային ծրագրի շրջանակներում համայնքներին տրամադրվող աջակցություն:</t>
  </si>
  <si>
    <t xml:space="preserve"> - Այլ կապիտալ դրամաշնորհներ</t>
  </si>
  <si>
    <t>«Սևանա լճի ավազանում հողային ռեսուրսների և արժեքավոր էկոհամակարգերի պահպանում և կայուն կառավարում՛ ուղղված բազմակի օգուտների» դրամաշնորհային ծրագրի շրջանակներում համայնքներին տրամադրվող աջակցության նպատակով</t>
  </si>
  <si>
    <t>պարտադիր</t>
  </si>
  <si>
    <t>հայեցողական ոչ շարունակական.</t>
  </si>
  <si>
    <t xml:space="preserve"> - Կապի ծառայություն</t>
  </si>
  <si>
    <t>հայեցողական շարունակական.</t>
  </si>
  <si>
    <t>2027-2029 թվականներին միջոցառման շրջանակներում նախատեվում է վերլուծել և գնահատել հիմնական որսատեսակների պոպուլյացիաների արդի վիճակը Հայաստանում, դրանցից որոշների սեզոնային որսը թույլատրելու հնարավորությունները և որսի համար նախատեսվող տարեկան օգտագործման թույլատրելի չափաքանակները՝ սահմանելով վերջիններիս որսի ժամկետները։</t>
  </si>
  <si>
    <t>Միջոցառման շրջանակներում նախատեսվում է իրականացնել՝
1.Սևանա լճում ձկան պաշարների հաշվառում, 
2.Սևանա լճում խեցգետնի պաշարների հաշվառում,
3.Սևանա  լճի  ջրահավաք ավազանի գետերում ձկան և խեցգետնի ապրելու պայմանների բացահայտում:</t>
  </si>
  <si>
    <t xml:space="preserve"> «Զանգեզուր» կենսոլորտային համալիր» ՊՈԱԿ-ի պահպանման ծախսեր (աշխատավարձի վճարում):
Հաստիքային միավորների թիվը՝ 35.5։</t>
  </si>
  <si>
    <t>«Հայաստանի բնության պետական թանգարան» ՊՈԱԿ-ի պահպանման ծախսերին:
Հաստիքային միավորների թիվը՝ 26
Հատկացված գումարն ամբողջ ծավալով ուղղվում է «Հայաստանի բնության պետական թանգարան» ՊՈԱԿ-ի պահպանման ծախսերին՝ աշխատավարձի վճարում 39.8 մլն դրամ, այլ պահպանման ծախսեր՝ 984.7 հազ դրամ։</t>
  </si>
  <si>
    <t>«Խոսրովի անտառ» պետական արգելոց» ՊՈԱԿ-ի պահպանման ծախսեր (աշխատավարձի վճարում):
Հաստիքային միավորների թիվը՝ 33։</t>
  </si>
  <si>
    <t>«Հայաստանի դիմակայուն լանշաֆտներ» դրամաշնորհային ծրագիր</t>
  </si>
  <si>
    <t>ԸՆԹԱՑԻԿ ԾԱԽՍԵՐ</t>
  </si>
  <si>
    <t>-Աշխատողների աշխատավարձեր և հավելավճարներ</t>
  </si>
  <si>
    <t xml:space="preserve">  -Ներքին գործուղումներ</t>
  </si>
  <si>
    <t>-Տեղեկատվական ծառայություններ</t>
  </si>
  <si>
    <t>-Կառավարչական ծառայություններ</t>
  </si>
  <si>
    <t xml:space="preserve"> -Ներկայացուցչական ծառայություններ</t>
  </si>
  <si>
    <t>-Ընդհանուր բնույթի  այլ ծառայություններ</t>
  </si>
  <si>
    <t xml:space="preserve"> -Մասնագիտական  ծառայություններ</t>
  </si>
  <si>
    <t xml:space="preserve"> -Գրասենյակային նյութեր և հագուստ</t>
  </si>
  <si>
    <t>-Տրանսպորտային նյութեր</t>
  </si>
  <si>
    <t xml:space="preserve"> -Հատուկ նպատակային այլ նյութեր</t>
  </si>
  <si>
    <t>- Այլ ծախսեր</t>
  </si>
  <si>
    <t xml:space="preserve"> «Սևանի լճի ավազանում հողային ռեսուրսների և արժեքավոր էկոհամակարգերի պահպանում և կայուն կառավարում՝ ուղղված բազմակի օգուտների »</t>
  </si>
  <si>
    <t>15.11.2023</t>
  </si>
  <si>
    <t>15.11.2028</t>
  </si>
  <si>
    <t>այդ թվում` ըստ կատարողների</t>
  </si>
  <si>
    <t>ՀՀ  շրջակա միջավայրի նախարարություն</t>
  </si>
  <si>
    <t xml:space="preserve"> - Էներգետիկ ծառայություն</t>
  </si>
  <si>
    <t xml:space="preserve">  -Գույքի և սարքավորումների վարձակալություն</t>
  </si>
  <si>
    <t>.-Արտասահմանյան գործուղումների գծով ծախսեր</t>
  </si>
  <si>
    <t xml:space="preserve"> -Ներկայացուցչական ծախսեր </t>
  </si>
  <si>
    <t>-Ընդհանուր բնույթի այլ ծառայություններ</t>
  </si>
  <si>
    <t xml:space="preserve"> - Գրասենյակային նյութեր</t>
  </si>
  <si>
    <t xml:space="preserve"> -Կենցաղային և հանրային սննդի ծառայություններ</t>
  </si>
  <si>
    <t xml:space="preserve"> - Պարտադիր վճարներ</t>
  </si>
  <si>
    <t>Կապիտալ սուբվենցիաներ համայնքներին</t>
  </si>
  <si>
    <t>«Հիդրոօդերևութաբանության և մոնիթորինգի կենտրոն» ՊՈԱԿ-ի կողմից մինչ օրս իրականացվել են հետազոտական աշխատանքներ ՀՀ տարածքում գտնվող 15 հանքարդյունաբերական թափոնների կուտակման վայրերում և փակված ընդերքօգտագործման օբյեկտների տարածքներում, որոնց շրջանակում կազմվել են աղտոտիչների տարածվածության քարտեզներ։ Հետազոտությունները հիմնականում կենտրոնացած են եղել ծանր մետաղներով և այլ թունավոր տարրերով հողերի աղտոտվածության ուսումնասիրման վրա։
Միևնույն ժամանակ, նշված աղտոտման աղբյուրների ազդեցության գոտիներում մինչ օրս չեն սահմանվել մշտադիտարկման փորձահրապարակներ, և հողերի համակարգված ու կայուն (ստաբիլ) մոնիթորինգ չի իրականացվում։ Սա էապես սահմանափակում է հողերի աղտոտվածության դինամիկայի, տարածական փոփոխությունների և երկարաժամկետ ռիսկերի գնահատման հնարավորությունը։
Ընդերքօգտագործման արդյունքում առաջացած թափոնների և փակված օբյեկտների կողմից աղտոտվածության բնույթի, ծավալների և տարածման ուղղությունների վերաբերյալ դաշտային հետազոտական աշխատանքների իրականացում, հողերի նմուշառում, նմուշառված հողերի լաբորատոր հետազոտությունների իրականացում, հողերի աղտոտվածության տարածական բաշխման գնահատում, քարտեզագրում, փոփոխությունների կանխատեսում,
Հողերի աղտոտվածության մոնիթորինգի դիտացանցի մշակում / մոնիթորինգի փորձահրապարակների սահմանում,
Հողերի բնական ֆոնային կոնցենտրացիաների որոշում՝ տեղանքին բնորոշ հողերի աղտոտվածության նորմերի մշակման համար տվյալների ստեղծում
Հողերի աղտոտվածության վիճակի վերաբերյալ մոնիթորինգային շարքերի լրացման համար տվյալների ստացում, գնահատում, մշակում,
Հանրապետության հողերի աղտոտվածության վիճակի վերաբերյալ օպերատիվ նշանակության և մոնիտորինգային շարքերի լրացման համար տվյալների ստացում, գնահատում, մշակում, պահպանում, տրամադրում:
Հողերի որակի գնահատում, դասակարգում: Հողերի որակի տարածական և ժամանակային բաշխման գնահատում, քարտեզագրում, փոփոխությունների կանխատեսում:
Շրջակա միջավայրի առանձին օբյեկտների, էկոհամակարգերի, ջրային ռեսուրսների, մշակաբույսերի, բերքատվության որակի վրա հողերի աղտոտվածության ներգործության գնահատականներ, փոփոխությունների միտումների բացահայտումներ և կանխատեսումներ:
Հողերի աղտոտման հնարավոր աղբյուրների և պատճառների բացահայտում, աղտոտման հետևանքների գնահատում:
Հողերի աղտոտվածության մեջ ֆոնային, տեղական, տարածաշրջանային, մեծ հեռավորություններից եկող, գլոբալ բնույթի գործոնների մասնաբաժինների գնահատումներ:
Պետական իշխանության, տարածքային կառավարման և տեղական ինքնակառավարման մարմիններին, կազմակերպություններին, հասարակությանը, ինչպես նաև միջազգային կազմակերպություններին հողերի որակի արդյունավետ վերահսկման ու կառավարման համար անհրաժեշտ, որակյալ, ժամանակին, լիարժեք տվյալներով ապահովում:
Ներկայացված գերակայություններից բխող միջոցառումների իրականացման արդյունքում Հանրապետությունը կունենա իր տարածքին համարժեք, միջազգային չափանիշներով արդյունավետ գործող և նպատակային ինֆորմացիա արտադրող մոնիտորինգային համակարգ: 
ՄԺԾԾ շրջանակներում ծրագրավորվող աշխատանքներն են.
- դաշտային ուսումնասիրություններ, ֆոնդային և հրատարակված նյութերի ուսումնասիրություն` ընդերքօգտագործման արդյունքում խախտված, աղտոտված և դեգրադացված հողերի տեղադիրքի, չափերի պարզաբանման համար, դրանց տեղադրում կոորդինատական առանցքներով տոպոհիմքերի վրա, հողերի որակի տարածական բաշխման գնահատում, քարտեզագրում, փոփոխությունների կանխատեսում,
- նմուշարկման դիտացանցի զարգացում` ընդերքօգտագործման արդյունքում խախտված կամ աղտոտված տարածքների հողածածկույթի համար,
- հողերի աղտոտվածությունը բնութագրող շուրջ 30 պարամետրերի որոշում,
- ընդերքօգտագործման հետ կապված հողերի աղտոտվածության վիճակի վերաբերյալ մոնիթորինգային շարքերի լրացման համար տվյալների ստացում, գնահատում, մշակում,
- որպես հեռանկարային զարգացում՝ վերակուլտիվացման հնարավոր ուղղությունների մշակում և հողերի ռեկուլտիվացիայի պիլոտային ծրագրերի իրականացում:համակարգ։</t>
  </si>
  <si>
    <t>2029 և շարունակական</t>
  </si>
  <si>
    <t xml:space="preserve"> </t>
  </si>
  <si>
    <t>Արդյունաբերական թափոնների ազդեցության գոտիներում գտնվող անտառտնտեսությունների և հատուկ պահպանվող տարածքների հողերի մոնիթորինգի փորձահրապարակների ստեղծում</t>
  </si>
  <si>
    <t>Հավելված N 2. Նոր նախաձեռնությունների ներկայացման ամփոփ ձևաչափ*</t>
  </si>
  <si>
    <r>
      <t>Ձևաչափ N 1. Նոր նախաձեռնությունների գծով ամփոփ տեղեկատվություն</t>
    </r>
    <r>
      <rPr>
        <b/>
        <vertAlign val="superscript"/>
        <sz val="10"/>
        <color theme="1"/>
        <rFont val="GHEA Grapalat"/>
        <family val="3"/>
      </rPr>
      <t>1</t>
    </r>
  </si>
  <si>
    <t>Ընդամենը ՀՀ պետական բյուջեից ծախսեր (հազ. դրամ)</t>
  </si>
  <si>
    <t xml:space="preserve">Նպատակը </t>
  </si>
  <si>
    <t xml:space="preserve">Սպասվող օգուտները </t>
  </si>
  <si>
    <r>
      <t>Նոր նախաձեռնությունը չֆինանսավորելու դեպքում ծագող խնդիրները</t>
    </r>
    <r>
      <rPr>
        <sz val="8"/>
        <color theme="1"/>
        <rFont val="GHEA Grapalat"/>
        <family val="3"/>
      </rPr>
      <t xml:space="preserve"> </t>
    </r>
  </si>
  <si>
    <t>Նոր նախաձեռնության բնույթը՝</t>
  </si>
  <si>
    <t>Միջոցառման հիմքում դրված ծախսային պարտավորության բնույթը՝ (ընտրել)</t>
  </si>
  <si>
    <t xml:space="preserve">«Շրջակա միջավայրի վրա ազդեցության գնահատում և մոնիթորինգ»  </t>
  </si>
  <si>
    <t>Ձյան և ձնահյուսերի մոնիթորինգի նոր համակարգի ստեղծում</t>
  </si>
  <si>
    <t xml:space="preserve">   Ծրագրի նպատակն է Հայաստանի տարածքում ձնաչափական մոնիթորինգի վերականգնումը, ձյան մոնիթորինգի ընդլայնումն ու բարելավումը, պարբերական արդիականացումը և ձնահյուսերի մոնիթորինգի և վտանգի կանխատեսման գնահատման համակարգի ստեղծումը։ 
Ծրագրի հիմքում դրված է «Հիդրոօդերևութաբանության և մոնիթորինգի կենտրոն» ՊՈԱԿ-ի կանոնադրական գլխավոր խնդիրը՝ պետական կառավարման մարմիններին, ազգաբնակչությանը, տնտեսության տարբեր ճյուղերին ջրային ռեսուրսների, գարնանային վարարումների հոսքի ծավալների, սակավաջրության, հիդրոօդերևութաբանական վտանգավոր երևույթների, մասնավորապես հեղեղումների և ձնահյուսերի վերաբերյալ ժամանակին և հուսալի տվյալներով և տեղեկատվությամբ ապահովումը։ Ձյան և ձնահյուսերի մոնիթորինգի համակարգի ներդրումը անհրաժեշտ է ջրային ռեսուրսների կայուն կառավարման, վաղ նախազգուշացման համակարգերի ներդրմամբ հեղեղումների և սակավաջրության ռիսկերի կանխարգելման, գյուղատնտեսական արտադրության կայունության ապահովման համար, ինչպես նաև այն կարևոր միջոցառում է կլիմայի փոփոխության հարմարվողականության և էկոհամակարգերի պահպանության համար։</t>
  </si>
  <si>
    <t>Ծրագրի իրականացման արդյունքում էապես կբարելավվի հիդրոօդերևութաբանական, կլիմայական, ջրային ռեսուրսների փաստացի և կանխատեսվող տեղեկատվության որակը, հուսալի և ժամանակին տվյալներով ապահովելով պետական կառավարման մարմիններին, ազգաբնակչությանը հանրապետության եղանակակլիմայական պայմաններից կախվածություն ունեցող տնտեսության բոլոր ճյուղերին (գյուղատնտեսություն, էներգետիկա, առողջապահություն, ջրային ռեսուրսներ, շրջակա միջավայր և այլն)։ Տվյալների և կանխատեսումների բարելավումը, որոնք օգտագործում են այդ ոլորտները, կբարձրացնի դրանց ուղղակի և անուղղակի օգուտները։ Ակնհայտ է նաև, որ առաջարկվող գործունեությունը կլուծի դժվար խնիրներ՝ կապված կլիմայական ռիսկերի հետ՝ հնարավորություն կտա առավել մեծ ճշգրտությամբ և վաղօրոքությամբ կանխատեսել սպասվող հեղեղումների, սակավաջրության, դրա տարածական ընդգրկվածության և տևողության և ձնահյուսերի վերաբերյալ, առավել մեծ ճշգրտությամբ կազմել գետավազանային ջրային հաշվեկշիռներ, որն էլ հնարավորություն կտա նախապես մշակել այդ ռիսկերը կառավարելու համալիր հարմարվողականության միջոցառումներ։ Հետևապես ներկայացված ծրագրի առաջարկը առաջնահերթ խնդիր է Հայաստանի համար։</t>
  </si>
  <si>
    <t>Շրջակա միջավայրի վրա ազդեցության  գնահատում և մոնիտորինգ</t>
  </si>
  <si>
    <t>Մակերևութային ջրերի քանակական մոնիթորինգի հիդրոլոգիական դիտակետերի արդիականացում</t>
  </si>
  <si>
    <t xml:space="preserve">   Մակերևութային ջրերի քանակական մոնիթորինգի հիդրոլոգիական դիտակետերից ստացվող տեղեկատվության, գրանցված տվյալների ավտոմատ վերլուծության գործող համակարգի կատարելագործում, առավել հաճախականացված և ճշգրիտ տվյալների ստացում, կարճաժամկետ և երկարաժամկետ կանխատեսման համակարգի կատարելագործում։ Օդերևութաբանական, կլիմայական և հիդրոլոգիական արժանահավատ տվյալների հիման վրա սակավաջրության վաղօրոք գնահատման, հեղեղումների վաղ նախազգուշացման հնարավորության ստեղծում։Անհրաժեշտ է հիդրոլոգիական ժամանակակից մոդելների տեղայնացում և ներդնում, որի արդյունքում կբարելավվեն կարճաժամկետ և երկարաժամկետ հիդրոլոգիական կանխատեսումները։ </t>
  </si>
  <si>
    <t xml:space="preserve">   Մակերևութային ջրերի քանակական մոնիթորինգի դիտացանցի ամբողջական արդիականացում՝ ավտոմատ հիդրոլոգիական կայանների տեղադրում։
Հիդրոօդերևութաբանական երևույթների և պրոցեսների դիտարկումների իրականացում, ջրային ռեսուրսների հիդրոլոգական ռեժիմի ներկա և ապագա վիճակի վերաբերյալ պետական կառավարման մարմիններին, ազգաբնակչությանը, տնտեսության տարբեր ճյուղերին մակերևութային ջրային ռեսուրսների փաստացի վիճակի և դրանց սպասվող փոփոխությունների մասին տեղեկատվությամբ ապահովում` հիդրոօդերևութաբանական անբարենպաստ պայմաններից բնակչության և տնտեսության պաշտպանություն։</t>
  </si>
  <si>
    <t xml:space="preserve">  Հիդրոլոգիական դիտակետերի արդիականացումը հնարավորություն կտա առավել մեծ ճշգրտությամբ և վաղօրոքությամբ տեղեկացնել սպասվող հեղեղումների, սակավաջրության, դրա տարածական ընդգրկվածության և տևողության վերաբերյալ, առավել մեծ ճշգրտությամբ կազմել ՀՀ տարածքի ջրային հաշվեկշիռը, որն էլ պետությանը հնարավորություն կտա նախապես մշակել այդ ռիսկերը կառավարելու համալիր հարմարվողականության միջոցառումներ։ Կբարձրանա հիդրոլոգիական դիտակետերից ստացվող տեղեկատվության որակը և հաճախականությունը:</t>
  </si>
  <si>
    <t>Միջոցառումն ուղղված է Հայաստանի Հանրապետությունում ջերմոցային գազերի գույքագրման համակարգի ինստիտուցիոնալացմանը և գույքագրման էլեկտրոնային հարթակի ներդրմանը ու շահագործմանը՝ միջազգային պարտավորությունների պարտադիր և հայեցողական շրջանակներին համապատասխան։
Միջոցառման շրջանակում կամրապնդվեն ջերմոցային գազերի գույքագրման համար պատասխանատու ինստիտուցիոնալ մեխանիզմները՝ հստակ սահմանելով ներգրավված պետական մարմինների, ոլորտային կազմակերպությունների և տվյալ մատակարարների դերերը, պարտականություններն ու փոխգործակցության կարգերը։ Կմշակվեն և կընդունվեն համապատասխան մեթոդաբանական, ընթացակարգային և իրավական փաստաթղթեր՝ ապահովելով գույքագրման գործընթացի շարունակականությունն ու կայունությունը։
Կներդրվի և կգործարկվի ջերմոցային գազերի գույքագրման էլեկտրոնային հարթակ, որը կապահովի տվյալների հավաքագրումը, պահպանումը, մշակումը և վերլուծությունը՝ ՄԱԿ Կլիմայի փոփոխության շրջանակային կոնվենցիայի, Փարիզյան համաձայնագրի և Թափանցիկության ընդլայնված շրջանակի պահանջներին համապատասխան։ Հարթակում կզարգացվեն ոլորտային մոդուլները, որակի ապահովման և որակի վերահսկման (QA/QC) գործիքներ, ինչպես նաև հաշվետվությունների ավտոմատ ձևավորման հնարավորություններ։
Միջոցառումը կներառի նաև շահագործման և տեխնիկական սպասարկման մեխանիզմների սահմանում, համապատասխան մասնագետների ներրգրավվում, կարողությունների զարգացում և ուսուցում՝ ապահովելու համար համակարգի երկարաժամկետ և արդյունավետ կիրառումը։ Արդյունքում կձևավորվի հուսալի, թափանցիկ և ինստիտուցիոնալապես կայուն ջերմոցային գազերի գույքագրման համակարգ, որը կնպաստի ազգային կլիմայական քաղաքականությունների իրականացմանը և միջազգային հաշվետվողականության բարձրացմանը։</t>
  </si>
  <si>
    <t>Միջազգային պարտավորությունների լիարժեք կատարում
Կապահովվի Հայաստանի Հանրապետության կողմից ՄԱԿ Կլիմայի փոփոխության շրջանակային կոնվենցիայի, Փարիզյան համաձայնագրի և Թափանցիկության ընդլայնված շրջանակի շրջանակներում ստանձնված պարտադիր և հայեցողական պարտավորությունների համակարգված և ժամանակին կատարումը։
Ջերմոցային գազերի գույքագրման համակարգի ինստիտուցիոնալ կայունություն
Կձևավորվի հստակ սահմանված դերերով և պատասխանատվությամբ գործող ինստիտուցիոնալ համակարգ, որը կապահովի գույքագրման գործընթացի շարունակականությունն ու անկախությունը ծրագրային ֆինանսավորումից։
Տվյալների որակի և վստահելիության բարձրացում
Կներդրվեն որակի ապահովման և որակի վերահսկման (QA/QC) մեխանիզմներ, որոնք կնվազեցնեն սխալների և անորոշությունների մակարդակը և կբարձրացնեն ներկայացվող տվյալների հուսալիությունը։
Թափանցիկության և հաշվետվողականության բարձրացում
Էլեկտրոնային հարթակի միջոցով կապահովվի տվյալների հավաքագրման, մշակման և հաշվետվությունների պատրաստման թափանցիկ գործընթաց, ինչը կնպաստի հանրային և միջազգային վստահության ամրապնդմանը։
Կլիմայական քաղաքականությունների արդյունավետ պլանավորում
Հուսալի գույքագրման տվյալների առկայությունը հնարավորություն կտա ավելի ճշգրիտ պլանավորել և գնահատել արտանետումների կրճատման միջոցառումները և ազգային կլիմայական քաղաքականությունները։
Միջազգային կլիմայական ֆինանսավորման ներգրավման հնարավորությունների ընդլայնում
Գործունակ MRV/ՉՀՀ և գույքագրման համակարգի առկայությունը կծառայի որպես կարևոր նախապայման միջազգային ֆինանսական մեխանիզմներից (օր.՝ GCF, GEF) ֆինանսավորում ներգրավելու համար։
Ազգային կարողությունների ամրապնդում
Կզարգանան պետական մարմինների և ոլորտային մասնագետների մասնագիտական կարողությունները, կապահովվի գիտելիքների փոխանցում և համակարգի երկարաժամկետ շահագործման տեղայնացված կարողություն։</t>
  </si>
  <si>
    <t>Ջերմոցային գազերի արտանետումների գույքագրում, գույքագրման էլեկտրոնային շտեմարանի սպասարկում</t>
  </si>
  <si>
    <t>Սնդիկը համարվում է բարձր թունավոր և կենսակուտակվող ծանր մետաղ, որը հանդիսանում է շրջակա միջավայրի առաջնային վերահսկման աղտոտիչներից մեկը։ Այն ունի բարձր էկոթունաբանական ակտիվություն, իսկ անթթվածին պայմաններում կարող է վերափոխվել մեթիլսնդիկի՝ առավել վտանգավոր ձևի, որը կուտակվում է բիոտայում և փոխանցվում սննդային շղթայով՝ առաջացնելով լուրջ ռիսկեր մարդու առողջության և էկոհամակարգերի համար։
Հայաստանի Հանրապետությունը 2017 թվականին վավերացրել է Սնդիկի վերաբերյալ Մինամատայի կոնվենցիան՝ ստանձնելով պարտավորություններ՝
•	գնահատել սնդիկի արտանետումները և արտահոսքերը,
•	ապահովել շրջակա միջավայրի բաղադրիչներում սնդիկի մոնիթորինգ,
•	ստեղծել տվյալահեն քաղաքականության հիմքեր։
Միաժամանակ, ՀՀ-ում առկա են սնդիկի հնարավոր արտանետումների և տարածման աղբյուրներ, մասնավորապես՝
•	հանքարդյունաբերություն և մետաղների մշակում,
•	վառելիքի և կենսազանգվածի այրում,
•	սնդիկ պարունակող թափոնների ոչ պատշաճ կառավարում,
•	գյուղատնտեսական հոսքաջրեր,
•	քաղաքային և արդյունաբերական արտանետումներ։
Ներկայումս ՀՀ-ում բացակայում է սնդիկի պետական, համակարգված և բազմաբաղադրիչ մոնիթորինգի ծրագիրը, ինչպես նաև առաջնային տվյալների բազան, ինչը սահմանափակում է միջազգային պարտավորությունների լիարժեք իրականացումը և ռիսկերի գիտական գնահատումը։
Ծրագրի նպատակն է ներդնել Հայաստանի Հանրապետությունում  շրջակա միջավայրի բաղադրիչներում սնդիկի և մեթիլսնդիկի մոնիթորինգի ժամանակակից, միջազգային պահանջներին համապատասխան համակարգ և ձևավորել առաջնային ազգային տվյալների բազա՝ Մինամատայի կոնվենցիայի և այլ միջազգային պարտավորությունների իրականացման աջակցման նպատակով։
Ծրագրի շրջանակում նախատեսվում է՝
1.	Ստեղծել սնդիկի մոնիթորինգի ազգային մեթոդաբանական և գործառնական շրջանակ։
2.	Իրականացնել սնդիկի կանոնավոր մոնիթորինգ շրջակա միջավայրի հիմնական բաղադրիչներում։
3.	Ձևավորել սնդիկի առաջնային տվյալների միասնական ազգային բազա։
4.	Ապահովել միջազգային հաշվետվությունների և ռիսկերի գնահատման համար անհրաժեշտ տեղեկատվություն։
5.	Աջակցել պետական քաղաքականության մշակմանը և շրջակա միջավայրի կառավարման որոշումների կայացմանը։
Ծրագրի շրջանակում կիրականացվի բազմաբաղադրիչ մոնիթորինգ՝
•	Օդ – ակտիվ և պասիվ նմուշառմամբ սնդիկի կոնցենտրացիաների կանոնավոր դիտարկում։
•	Ջուր – բարձր ռիսկայնությամբ ջրային մարմիններում սնդիկի և մեթիլսնդիկի մոնիթորինգ։
•	Հող և հատակային նստվածքներ – աղտոտման կուտակման գնահատում։
•	Բիոտա – ձկների և այլ օրգանիզմների միջոցով կենսակուտակման գնահատում։
Դիտակետերը ընտրվելու են ռիսկային տարածքներում՝
•	հանքարդյունաբերական շրջաններ (Սյունիք, Լոռի),
•	արդյունաբերական քաղաքներ (Երևան, Վանաձոր),
•	քաղաքային բարձր երթևեկությամբ գոտիներ,
•	ջրային էկոհամակարգեր։
Միաժամանակ, ծրագրի արդյունավետ իրականացման համար արդեն իսկ ստեղծվել են կարևոր ինստիտուցիոնալ և տեխնիկական նախադրյալներ՝ Ատոմային էներգիայի միջազգային գործակալության (ԱՄԷԳ) կողմից իրականացվող «Մինամատայի կոնվենցիայի պահանջներին համապատասխանելու համար սնդիկի մոնիթորինգի կարողությունների բարելավում» ծրագրի շրջանակներում։
Մասնավորապես, ծրագրի շրջանակում ԱՄԷԳ-ի կողմից ձեռք են բերվել սնդիկի անալիզների համար նախատեսված գազային քրոմատոգրաֆ՝ Methyl Mercury Analysis gas chromatography–cold-vapor atomic fluorescence spectrophotometer (Tekran® 2700), ինչպես նաև սնդիկի անմիջական չափման սարք՝ Milestone DMA-80 evo, որոնք փոխանցվել են Շրջակա միջավայրի նախարարության ենթակայությամբ գործող «Հիդրոօդերևութաբանության և մոնիթորինգի կենտրոն» ՊՈԱԿ-ի լաբորատորիային։
Սույն սարքավորումների առկայությունը հնարավորություն է տալիս ծրագրի շրջանակում իրականացնել բարձր ճշգրտությամբ չափումներ, ընդլայնել մոնիթորինգի ցուցանիշների շրջանակը և ապահովել միջազգային ստանդարտներին համապատասխան տվյալների ստացում։ Սա էապես բարձրացնում է ծրագրի կիրառական արժեքը, ինչպես նաև ապահովում է դրա արդյունքների անմիջական օգտագործելիությունը գերատեսչական մակարդակում՝ առանց լրացուցիչ խոշոր ներդրումների անհրաժեշտության։</t>
  </si>
  <si>
    <t>Շրջակա միջավայրի բաղադրիչներում սնդիկի համակարգված մոնիթորինգի ներդրում և առաջնային տվյալների բազայի ստեղծում</t>
  </si>
  <si>
    <t>ՀՀ ստորերկրյա ջրային ռեսուրսների
մոնիթորինգի դիտողական ցանցի  զարգացում</t>
  </si>
  <si>
    <t>Ծրագրի նպատակն է ՀՀ տարածքում ունենալ ԵՄ ջրի շրջանակային դիրեկտիվին համահունչ ստորերկրյա ջրերի մոնիթորինգի համակարգ, որն իրականացնելու համար անհրաժեշտ է ՀՀ բոլոր ջրավազանային կառավարման տարածքներում իրականացնել ստորերկրյա ջրային մարմինների տարանջատում: Այնուհետև յուրաքանչյուր ջրային մարմնում իրականացնել ստորերկրյա ջրերի քանակական և որակական ուսումնասիրություններ:</t>
  </si>
  <si>
    <t>ՀՀ 6 ջրավազանային կառավարման տարածքներում ստորերկրյա ջրերի ազգային ցանցի մոնիթորնգն իրականացվում է 114 ջրաղբյուրում, որոնցում դիտարկվում են ստորերկրյա ջրաղբյուրների ծախսը, ջերմաստիճանը, ճնշումը և մակարդակը՝ ամսական 6 անգամ հաճախականությամբ: 55 դիտակետում տարեկան երկու անգամ իրականացվում է նմուշառում ջրի որակի լաբորատոր հետազոտություններ իրականացնելու համար:  Ստորերկրյա ջրերը պահպանելու և դրանց աղտոտումը ժամանակին կանխելու համար դիտակետերի շուրջ յուրաքանչյուր տարի կատարվում են հիդրոերկրաբանական երթուղիներ հնարավոր աղտոտման օջախների բացահայտման նպատակով:
Դիտարկվող ստորերկրյա ջրերի ազգային ցանցի դիտակետերի քանակը անբավարար է ՀՀ ամբողջ տարածքի ստորերկրյա ջրային ռեսուրսների քանակական և որակական գնահատում իրականացնելու համար:
Ստորերկրյա ջրային մոնիթորինգի դիտակետերը ամբողջությամբ բացակայում են Դեբեդ, Ձորագետ, Հախում, Տավուշ, Խնձորուտ, Ոսկեպար (Հյուսիսային ՋԿՏ), Ողջի և Մեղրիգետ (Հարավային ՋԿՏ) գետավազաններում: 
Ստորերկրյա ջրերի որակական և քանակական փոփոխությունների կանխատեսման, դրանց պահպանման, ինչպես նաև ստորերկրյա ջրային մարմինների կարգավիճակի դասակարգման նպատակներով անհրաժեշտ է ավելացնել հիդրոերկրաբանական մշտադիտարկումների դիտակետերի քանակը, որպեսզի դիտարկվող ցանցն ընդգրկի ՀՀ տարածքի տարբեր հիդրոերկրաբանական պայմաններում ձևավորվող ստորերկրյա ջրերը: ՀՀ կառավարության ստորերկրյա ջրային մարմինների որակի նորմերը սահմանելու մասին 2024 թվականի նոյեմբերի 15-ի  N 1782-Ն որոշման պահանջները  և 98/83 ԵՀ հրահանգին փոխարինող՝ Խորհրդարանի և Խորհրդի 2020թ. դեկտեմբերի 16-ի 2020/2184/ԵՄ հրահանգով Հայհիդրոմետ ՊՈԱԿ-ի մասով առկա դիտանցման համակարգի ստեղծում միջոցառումը՝ որի ժամկետն է մինչև 2027 թվականի 3-րդ եռամսյակն է, իրականացնելու նպատակով անհրաժեշտ է գործող և նախատեսվող բոլոր դիտակետերում իրականացնել որակական մոնիթորինգ: ՀՀ և միջազգային պարտավորություններից բխող ստոերկրյա ջրերի որակի մոնիթորինգի իրականացման համար պահանջվող լաբորատոր կարողությունների զարգացմանն ուղղված միջոցառումները նախատեսված են «Հայհիդրոմետ» ՊՈԱԿ-ի «Շրջակա միջավայրի մոնիթորինգի լաբորատոր կարողությունների զարգացում" ծրագրային հայտում։</t>
  </si>
  <si>
    <t>Սույն  ծրագրի իրականացման դեպքում  կստեղծվի  ԵՄ ջրի շրջանակային դիրեկտիվին համապատասխան ստորերկրյա ջրերի մոնիթորինգի ազգային դիտողական ցանց, որի միջոցով հնարավոր է լիարժեք ուսումնասիրել ՀՀ ողջ տարածքի ստորերկրյա ջրերի ռեժիմի հնարավոր փոփոխությունները: 
Ցանցի զարգացման և վերազինման արդյունքում հնարավոր կլինի բնութագրել յուրաքանչյուր ստորերկրյա ջրային մարմնի տարածաշրջանային ֆոնը, բացահայտել տարածաշրջանային խախտված ռեժիմը, գնահատել փոփոխման մասշտաբները, որոնք ստեղծվել են ստորերկրյա ջրերի շահագործման ընթացքում: Այս ցանցի դիտարկումների արդյունքներով կգնահատվեն խոշոր ջրառների միջև հնարավոր փոխազդեցությունները և մարդու տնտեսական գործունեության ընթացքում ստորերկրյա հիդրոսֆերայում առաջացած և/կամ տեղի ուեցող փոփոխությունները :
Ծրագրի իրականացումից հետո ակնկալվում են հետևյալ արդյունքները.
1) ՀՀ ջրավազանային կառավարման տարածքներում ստորերկրյա ջրային մարմինների տարանջատում,
2) Ազգային ցանցի մոնիթորինգի դիտացանցի վերակառուցում և արդիականացում,
3) Յուրաքանչյուր ստորերկրյա ջրային մարմնում ԵՄ ՋՇԴ սկզբունքների վրա հիմնված մոնիթորինգի իրականացում,
4) Ստորերկրյա ջրային մարմինների կարգավիճակի դասակարգում,
5) Ստորերկրյա ջրերի որակի և քանակի կարճաժամկետ և երկրաժամկետ կանխատեսումներ,
6) Վատ կարգավիճակ ունեցող ջրային մարմինների կարգավիճակի բարելավմանն ուղղված միջոցառումների մշակում:</t>
  </si>
  <si>
    <t>2029և  շարունակական</t>
  </si>
  <si>
    <t xml:space="preserve"> Ծրագրի նպատակն է հատկապես վտանգավոր հիդրոօդերևութաբանական երևույթների, կարկտի, հորդառատ անձրևների, ուժեղ քամիների, պտտահողմերի գերկարճաժամկետ կանխատեսում, վաղ նախազգուշացում և  իրազեկման  հուսալիության  բարձրացում: Բացի կանխատեսումները ռադիոլոկացիոն կայանի տվյալները հնարավորություն կտան կատարել կարկտաբեր ամպերի առաջացման օջախների, դրանց շարժման հետագծերի, զարգացման և թուլացման տեղանքների, ռելիեֆի և ամպերի փոխազդեցության հետևանքների քարտեզագրում, որը շատ կարևոր է մի շարք գիտական վերլուծություններ և եզրակացություններ կատարելու համար։</t>
  </si>
  <si>
    <t>Վտանգավոր հիդրոօդերևութաբանական երևույթների կանխատեսման և վաղօրոք նախազգուշացման համակարգի ստեղծումը  պետք է  իրականացվի  ռադիոլոկացիոն  մոնիթորինգի  կենտրոն  ստեղծելու  նպատակով, այն  հնարավորություն  կտա  կատարել  հիդրոօդերևութաբանական  վտանգավոր  երևույթների  կանխատեսման  բարելավում և  վաղ  նախազգուշացում։Վերջին տասնամյակներում աճել է վտանգավոր երևույթների թիվը և դրանց կլիմայական էքստրեմումները, առանձին վայրերում զգալի փոփոխվել են որոշ օդերևութաբանական մեծությունների  արժեքները, մեծացել ազդեցության շրջանը: Աճել է նաև վտանգավոր հիդրոօդերևութաբանական երևույթներից մարդկային զոհերի թիվը և տնտեսական կորուստների քանակը: Ապացուցվել է, որ   հիդրոօդերևութաբանական  վտանգավոր  երևույթները  կարող են նպաստել այնպիսի աղետների առաջացմանը և ուժգնացմանը, ինչպիսիք են անապատացումը, ջրհեղեղները, մթնոլորտում թունավոր գազերի կուտակումները, ինֆեկցիոն հիվանդությունների տարածումը և այլն:
Վերլուծությունները ցույց են տալիս, որ Հայաստանում վտանգավոր երևույթների առաջացման հաճախությունը ևս ունի աճման տենդենց: Ընդ որում, Հայաստանի Հանրապետության տնտեսությանը առավել վնաս են հասցնում երաշտը, ցրտահարությունը, ջերմային ալիքները, կարկտահարությունը, ուժեղ քամիները, վարարումները, սելավները, ուժեղ մառախուղը, անտառային հրդեհները և այլն:
Ծրագրի իրականացումը թույլ կտա ռադիոլոկացիոն դիտարկումների ցանցի ընդարձակում՝ հանրապետության ողջ տարածքի ընդգրկմամբ, դիտարկումների տվյալների հավաքման արդյունավետ և այժմեական համակարգի ստեղծում,  հնարավորություն  կտա բարելավել համակարգի գործունեության հիմնական ուղղություններով  գործող պարտավորությունների կատարումը և ընդհանուր առմամբ կնպաստի Հայաստանի Հանրապետության հիդրոօդերևութաբանական անվտանգության բարձրացմանը։</t>
  </si>
  <si>
    <t xml:space="preserve"> Համաշխարհային բանկի փորձագետների գնահատականով համակարգի արդիականացման ներդրումների տնտեսական էֆեկտը կազմում է 150-320%: Դա նշանակում է համակարգին ուղղված յուրաքանչյուր դոլլարը, կարող է բերել 1,5-3,2 ԱՄՆ դոլլար օգուտ՝ տարերային հիդրոօդերևութաբանական երևույթների վնասների կանխարգելման արդյունքում: 
Ճյուղային գնահատականները կազմվել են միայն տնտեսության առանձին կարևորություն ունեցող սեկտորների համար, հատկապես գյուղատնտեսություն, ջրային ռեսուրսների կառավարում և էներգետիկա և  հաշվի առնված չեն տնտեսության հիդրոօդերևութաբանական պայմաններից կախված այլ ճյուղերի գործունեության էֆեկտիվության բարձրացման հետ կապված լրացուցիչ տնտեսական էֆեկտները: Այս առումով, իրական տնտեսական  էֆեկտը կարող է ավելի զգալի լինել:
Ծրագրի իրագործումը թույլ կտա բարելավել  գործունեության հիմնական ուղղություններով  գործող պարտավորությունների կատարումը և ընդհանուր առմամբ կնպաստի Հայաստանի Հանրապետության հիդրոօդերևութաբանական անվտանգության բարձրացմանը: </t>
  </si>
  <si>
    <t>Վտանգավոր հիդրոօդերևութաբանական երևույթների կանխատեսման և վաղօրոք նախազգուշացման համակարգի հիմնում</t>
  </si>
  <si>
    <t xml:space="preserve">Ներկայումս Հայաստանի Հանրապետությունում մթնոլորտային օդի աղտոտվածության դիտարկումները իրականացվում են հիբրիդային մոնիթորինգային դիտացանցի միջոցով, որը բաղկացած է 16 հիմնական անշարժ դիտակայանից, և երկու ավտոմատ դիտակայաներից և 191 շարժական (պասիվ) նմուշառման դիտակետից։ Բացի ավտոմատ դիտակայաններից, մնացած դիտակետերում դիտարկումներն իրականացվում են օդի նմուշառում, և դրանց հետագա լաբորատոր փորձարկման եղանակով, ինչը չի ապահովում տվյալների օպերատիվ ստացում և հրապարակում։ 
ՀՀ օրենսդրական և միջազգային պահանջների համաձայն՝ անշարժ դիտակայաններում պարտադիր կերպով պետք է իրականացվի հետևյալ աղտոտիչների մոնիթորինգը՝ ծծմբի երկօքսիդի (SO₂), ազոտի օքսիդների (NO₂/NOx), ածխածնի մոնօքսիդի (CO), կախված մասնիկների (PM₁₀ և PM₂․₅), գետնամերձ օզոնի (O₃՝ երկրորդային աղտոտիչ) վերաբերյալ՝ նվազագույնը միջին ժամային կոնցենտրացիաների ապահովմամբ։
Ներկայումս գործող շարժական և անշարժ դիտակետերում չափվող աղտոտիչների ցանկը միայն մասամբ է համապատասխանում նշված պահանջներին։ Կախված մասնիկների (PM₁₀ և PM₂․₅) և ածխածնի մոնօքսիդի չափումները իրականացվում են միայն երկու ավտոմատ դիտակայանում, և մնացած անշարժ դիտակայաններում իրականացվում է  չտարբերակված ընդհանուր փոշու պարունակության որոշում։ Բացի այդ, օդի աղտոտիչների վերաբերյալ ստացված տվյալների իրական ժամանակում (real-time) հասանելիությունը, օպերատիվ հրապարակումը և ժամանակային գնահատումը նույնպես սահմանափակ են և չեն բավարարում միջազգային լավագույն փորձին։
Մթնոլորտային օդի որակի մոնիթորինգի դիտացանցի արդիականացման և միջազգային չափանիշներին համապատասխանեցման նպատակով 2025 թվականին պետական բյուջեից հատկացված 300 մլն դրամի հաշվին ձեռք են բերվել մթնոլորտային օդի որակի երկու ավտոմատ դիտակայաններ։ 
Մթնոլորտային օդի որակի մոնիթորինգի դիտացանցի զարգացման շրջանակում 2025 թվականի սեպտեմբերի 29-ին Շրջակա միջավայրի նախարարությունը և Ճապոնիայի կառավարությունը ստորագրել են «Հայաստանի Հանրապետության և Ճապոնիայի միջև «Տնտեսական և սոցիալական զարգացում» դրամաշնորհի տրամադրման համաձայնագիր։ Համաձայնագրի շրջանակում նախատեսվում է ձեռք բերել Horiba (Ճապոնիա) ընկերության արտադրության ժամանակակից ավտոմատ սարքավորումներ՝ մթնոլորտային օդի որակի երեք դիտակայանի համար՝ հիմնական աղտոտիչների (SO₂, NOx, CO, O₃, PM₁₀, PM₂․₅) չափման նպատակով։ Նոր դիտակայանները կտեղադրվեն Երևան քաղաքի երեք վարչական շրջաններում` ապահովելով օդի աղտոտվածության վերաբերյալ ավելի ամբողջական և հասանելի տեղեկատվություն։
Բացի այդ, 2026 թվականին պետական միջոցների հաշվին նախատեսվում է ձեռք բերել ևս մեկ ժամանակակից ավտոմատ դիտակայան։
Մոնիթորինգի համակարգի արդիականացումն իրականացվում է՝ հիմք ընդունելով ՀՀ կառավարության 2025 թվականի մայիսի 22-ի N 611-Լ որոշմամբ հաստատված «Մթնոլորտային օդի պահպանության բնագավառում 2025–2030 թվականների համալիր միջոցառումների ծրագիրը» և դրան կից ժամանակացույցը։
Միջազգային չափանիշներին, Առողջապահության համաշխարհային կազմակերպության կողմից սահմանված պահանջներին համապատասխան՝ մարդու առողջության համար հիմնական վնասակար աղտոտիչների չափման և տվյալների իրական ժամանակում հանրությանը ներկայացման նպատակով ՀՀ-ում անհրաժեշտ է ունենալ առնվազն 14 անշարժ և 2 շարժական ավտոմատ դիտակայան։ Դիտակայաններում ստացված չափման տվյալները պետք է անմիջականորեն փոխանցվեն «Հիդրոօդերևութաբանության և մոնիթորինգի կենտրոն» ՊՈԱԿ-ի միասնական տվյալների բազա, որտեղից իրականացվի դրանց նախնական գնահատում և օպերատիվ հրապարակում Շրջակա միջավայրի նախարարության և «Հայհիդրոմետ» ՊՈԱԿ-ի պաշտոնական կայքերում, ինչպես նաև բջջային հավելվածի միջոցով։
Ծրագրով նախատեսվող հիմնական միջոցառումները․
1) Նոր անշարժ ավտոմատ դիտակայանների ձեռքբերում և տեղադրում
Մթնոլորտային օդի որակի մոնիթորինգի համակարգի ավտոմատացման շարունակական զարգացման նպատակով նախատեսվում է նոր դիտակայանների տեղադրում ՀՀ հետևյալ բնակավայրերում․ Գյումրի՝ 1 դիտակայան, Վանաձոր՝ 1 դիտակայան, Ալավերդի՝ 1 դիտակայան, Հրազդան՝ 1 դիտակայան, Արարատ՝ 1 դիտակայան, Կապան՝ 1 դիտակայան, Ծաղկաձոր՝ 1 դիտակայան։
Նշված դիտակայանները կապահովեն Առողջապահության համաշխարհային կազմակերպության կողմից սահմանված հիմնական վնասակար աղտոտիչների չափում և տվյալների իրական ժամանակում հրապարակում։
2) Շարժական ավտոմատ դիտակայանների ձեռքբերում
Մթնոլորտային օդի որակի մոնիթորինգի համակարգը նախատեսվում է համալրել նաև շարժական ավտոմատ դիտակայաններով, որոնք հնարավորություն կտան՝
•	իրականացնել օդի աղտոտվածության ժամանակավոր գնահատում այն բնակավայրերում, որտեղ մշտական դիտակայաններ չկան,
•	արտակարգ իրավիճակների (հրդեհ, պայթյուն, արդյունաբերական վթար և այլն) դեպքում օպերատիվ կերպով տեղակայել դիտակայանը աղտոտման թեժ կետին մոտ և իրական ժամանակում ապահովել բնակչության իրազեկումը։
</t>
  </si>
  <si>
    <t>Մթնոլորտային օդի որակի մոնիթորինգի համակարգի արդիականացում</t>
  </si>
  <si>
    <t xml:space="preserve">«Շրջակա միջավայրի վրա ազդեցության գնահատում և մոնիթորինգ» </t>
  </si>
  <si>
    <t>ՀՀ արդյունաբերական (ընդերքօգտագործման) գործունեության ազդեցության գոտիներում գտնվող անտառտնտեսությունների և հատուկ պահպանվող տարածքների հողերի տեխնածին աղտոտվածության  վերաբերյալ պարբերական, նպատակային և համադրելի տեղեկատվության ստացում ապահովող մոնիթորինգային դիտացանցի ձևավորում</t>
  </si>
  <si>
    <t xml:space="preserve"> Շրջակա միջավայրի վրա ազդեցության գնահատում և մոնիթորինգ </t>
  </si>
  <si>
    <t>Հիդրոօդերևութաբանության, շրջակա  միջավայրի մոնիտորինգ  և տեղեկատվության 
 ապահովում</t>
  </si>
  <si>
    <t>ՇՄՆ «Հիդրոօդերևութաբանության և մոնիթորինգի կենտրոն» ՊՈԱԿ-ի շրջակա միջավայրի մոնիթորինգի լաբորատորիայի տեխնիկական և մարդկային կարողությունների զարգացում՝ ապահովելու պետական մոնիթորինգի ծրագրերի անխափան իրականացումը, միջազգային ստանդարտների համաձայն հավատարմագրման պահպանումն ու ընդլայնումը և Հայաստանի Հանրապետության կողմից ստանձնած ազգային ու միջազգային բնապահպանական պարտավորությունների լիարժեք կատարումը։</t>
  </si>
  <si>
    <t>Ծրագրի իրականացումը կապահովի շրջակա միջավայրի մոնիթորինգի լաբորատորիայի կայուն և անխափան գործունեությունը՝ հիմք ստեղծելով պետական մոնիթորինգի համակարգի արդյունավետության բարձրացման համար։
Ծրագրի արդյունքում՝
•	կապահովվի շրջակա միջավայրի որակի վերաբերյալ վստահելի, բարձր ճշգրտությամբ և միջազգային չափանիշներին համադրելի տվյալների շարունակական ստացում,
•	կպահպանվի և կընդլայնվի ISO/IEC 17025:2019 միջազգային հավատարմագրումը՝ բարձրացնելով լաբորատոր արդյունքների վստահելիությունն ու կիրառելիությունը,
•	կբարձրանա շրջակա միջավայրի կառավարման և քաղաքական որոշումների կայացման գիտահեն մակարդակը,
•	կապահովվի ՀՀ կողմից ԵՄ հրահանգներով և միջազգային բնապահպանական կոնվենցիաներով ստանձնած պարտավորությունների արդյունավետ իրականացումը,
•	կնվազի արտաքին լաբորատոր ծառայություններից կախվածությունը և պետական միջոցների լրացուցիչ ծախսերը,
•	կամրապնդվի ՇՄՆ «Հիդրոօդերևութաբանության և մոնիթորինգի կենտրոն» ՊՈԱԿ-ի ինստիտուցիոնալ կարողությունը և կձևավորվեն տարածաշրջանային նշանակության լաբորատոր կենտրոն դառնալու նախադրյալներ։</t>
  </si>
  <si>
    <t>Նախաձեռնության չֆինանսավորման դեպքում էականորեն կխաթարվի շրջակա միջավայրի պետական մոնիթորինգի համակարգի անխափան գործունեությունը՝ ստեղծելով ռիսկեր ինչպես բնապահպանական կառավարման, այնպես էլ ՀՀ կողմից ստանձնած միջազգային պարտավորությունների կատարման առումով։
Մասնավորապես՝
•	կդադարեցվեն կամ էականորեն կսահմանափակվեն մակերևութային և ստորերկրյա ջրերի, հողերի, մթնոլորտային օդի և մթնոլորտային տեղումների որակի մոնիթորինգային ուսումնասիրությունները, այդ թվում՝ Սևանա լճի և անդրսահմանային ջրային ռեսուրսների վերաբերյալ,
•	կստեղծվի լաբորատորիայի ISO/IEC 17025:2019 հավատարմագրման պահպանման և ընդլայնման անհնարինություն, ինչը կհանգեցնի հավատարմագրման կորստի,
•	կխաթարվի ԵՄ հրահանգներով և միջազգային բնապահպանական կոնվենցիաներով ստանձնած պարտավորությունների կատարումը,
•	կավելանա շրջակա միջավայրի աղտոտվածության իրական պատկերի վերաբերյալ տվյալների բացակայության ռիսկը՝ սահմանափակելով հիմնավորված որոշումների կայացումը,
•	կխորանա մասնագիտական կադրերի արտահոսքը ոչ մրցունակ աշխատավարձերի և սոցիալական երաշխիքների բացակայության պայմաններում,
•	կկորցվեն գործող և պոտենցիալ միջազգային ծրագրերը և պայմանագրային աշխատանքները՝ առաջացնելով ֆինանսական և ինստիտուցիոնալ կորուստներ։
Վերոնշյալ խնդիրների կուտակումը երկարաժամկետ կտրվածքով կհանգեցնի շրջակա միջավայրի վերահսկման համակարգի թուլացման, բնապահպանական ռիսկերի աճի և պետական կառավարման արդյունավետության նվազման։</t>
  </si>
  <si>
    <t>2029, շարունակական</t>
  </si>
  <si>
    <t>Մոնիթորինգային ցանցի ստեղծման և գործարկման արդյունքում լիազոր մարմինը կստանա համապարփակ և գիտահիմն տեղեկատվություն՝
•	ընդերքօգտագործման արդյունքում առաջացած թափոնակույտերի և փակված օբյեկտների կողմից հողերի աղտոտվածության բնույթի, ծավալների և տարածման ուղղությունների վերաբերյալ,
•	հողերի որակի փոփոխությունների և դեգրադացման գործընթացների մասին,
•	անտառտնտեսական և հատուկ պահպանվող տարածքներում բնապահպանական ռիսկերի մակարդակների վերաբերյալ։
Ստացված տվյալները հնարավորություն կտան արդյունավետ կառավարել ընդերքօգտագործող ընկերությունների կողմից ներկայացվող հողերի ռեկուլտիվացման ծրագրերը, ինչպես նաև բարելավել հողերի պահպանության և վերականգնման քաղաքականության իրականացումը։</t>
  </si>
  <si>
    <t>Ապահովել Հայաստանի Հանրապետությունում ջերմոցային գազերի գույքագրման համակարգի ինստիտուցիոնալացումը և գույքագրման էլեկտրոնային հարթակի ներդրումն ու շահագործումը՝ միջազգային պարտավորությունների պարտադիր և հայեցողական շրջանակներին համապատասխան։</t>
  </si>
  <si>
    <t>Ծրագրի նպատակն է ներդնել Հայաստանի Հանրապետությունում  շրջակա միջավայրի բաղադրիչներում սնդիկի և մեթիլսնդիկի մոնիթորինգի ժամանակակից, միջազգային պահանջներին համապատասխան համակարգ և ձևավորել առաջնային ազգային տվյալների բազա՝ Մինամատայի կոնվենցիայի և այլ միջազգային պարտավորությունների իրականացման աջակցման նպատակով։</t>
  </si>
  <si>
    <t>1․ Մոնիթորինգային առաջնային տվյալների ստեղծում շրջակա միջավայրի բոլոր նշված 4 բաղադրիչներում։
2. էկոհամակարգի համալիր մոնիթորինգի իրականացումը և էկոլոգիական դինամիկ վիճակի գնահատումը՝ հաշվի առնելով նաև սնդիկի ներդրումը։
3․ Մոնիթորինգային տվյալների, էկոլոգիական վիճակի գնահատումների հիման վրա էկոհամակարգի առաջիկա կարճաժամկետ և միջնաժամկետ փոփոխությունների մոդելավորումը և կանխատեսումը։
4․ Սնդիկի վերաբերյալ անհրաժեշտ տեղեկատվության ստացումը և տրամադրումը որոշում կայացնողներին, գիտական հանրությանը և հասարակությանը:</t>
  </si>
  <si>
    <t>Շրջակա  միջավայրի վրա  ազդեցության  գնահատում   և  մոնիտորինգ</t>
  </si>
  <si>
    <t>Ծրագրի նպատակն է մթնոլորտային օդի որակի պետական մոնիթորինգի համակարգի արդիականացումը և միջազգային չափանիշներին համապատասխանեցումը՝ ապահովելով
•	մարդու առողջության համար հիմնական վնասակար աղտոտիչների ամբողջական և անընդհատ մոնիթորինգ,
•	մոնիթորինգային տվյալների իրական ժամանակում ստացում, վերլուծություն և հանրային մատչելիություն,
•	մթնոլորտային օդի աղտոտվածության վերաբերյալ գիտահեն, վստահելի և համադրելի տվյալների հիման վրա պետական քաղաքականության ձևավորում և արդյունավետ կառավարում։
Ծրագրի իրականացումը ուղղված է ՀՀ ստանձնած միջազգային պարտավորությունների կատարմանը, ինչպես նաև ԵՄ օրենսդրությանը մոտարկման և Առողջապահության համաշխարհային կազմակերպության օդի որակի ուղեցույցների կիրառման գործընթացի շարունակական ապահովմանը։</t>
  </si>
  <si>
    <t>1․ Մոնիթորինգային առաջնային տվյալների ստեղծում շրջակա միջավայրի բոլոր նշված 4 բաղադրիչներում։
2. էկոհամակարգի համալիր մոնիթորինգի իրականացումը և էկոլոգիական դինամիկ վիճակի գնահատումը՝ հաշվի առնելով նաև սնդիկի ներդրումը։
3․ Մոնիթորինգային տվյալների, էկոլոգիական վիճակի գնահատումների հիման վրա էկոհամակարգի առաջիկա կարճաժամկետ և միջնաժամկետ փոփոխությունների մոդելավորումը և կանխատեսումը։</t>
  </si>
  <si>
    <r>
      <rPr>
        <b/>
        <sz val="8"/>
        <color rgb="FF000000"/>
        <rFont val="GHEA Grapalat"/>
        <family val="3"/>
      </rPr>
      <t>2027-2028-2029թ միջոցառման գծով բազային բյուջեի տարբերությունը 2026թ հաստատվածի նկատմամբ</t>
    </r>
    <r>
      <rPr>
        <sz val="8"/>
        <color rgb="FF000000"/>
        <rFont val="GHEA Grapalat"/>
        <family val="3"/>
      </rPr>
      <t>։
Աշխատավարձի ֆոնդի փոփոխությունը կապված է  համակարգի  միջին աշխատավարի ցածր մակարդակի հետ։ ՊՈԱԿ-ում ներկայումս  աշխատում են 180 միավոր նվազագույն  աշխատավարձ  ստացող  աշխատակիցներ, Հարկ է նշել, որ պահպանման ծախսերի 90 տոկոսը աշխատավարձն է, իսկ բյուջետային հատկացումները  վերջին տարիներին ունեցել են նվազման տենդենց։ՊՈԱԿ-ի ձեռնարկատիրական գործունեությունից ու այլ ծառայությունների դիմաց ստացված ֆինանսական միջոցներից   աշխատավարձի  բարձրացումը  անհնար  է, քանի որ  միջոցները  հիմնականում  ուղղվում են  համակարգի արդիականացմանն ու մասնագիտական սարքեր-սարքավորումների  ձեռքբերմանը։ Համակարգը մի քանի անգամ օպտիմալացվել է, ենթարկվել կառուցվածքային և հաստիքային փոփոխությունների միայն այն պատճառով,որ ֆինանսական միջոցները չեն բավարարել և միջին աշխատավարձը ցածր է եղել։ Խնդիրը փոքր ինչ կարգավորելու նպատակով կառուցվածքային և հաստիքային փոփոխությունների արդյունքում գոյացած ազատ միջոցները ուղղվել են ՊՈԱԿ-ի կարողությունների զարգացմանը՝ արդիական և ավտոմատ սարքեր-սարքավորումների ձեռքբերման, համակարգչային տեխնիկայի, գրասենյակային կահույքի և գույքի ձեռքբերման նպատակով, որոշ մասն էլ ուղղվել է աշխատավարձի չնչին բարձրացմանը։ Հայտով նախատեսվել է  աշխատավարձի ֆոնդի  20 տոկոսով  բարձրացում, ինչպես նաև   6 հաստիքային միավորի  ավելացում   Աշխարհատեղեկատվական համակարգերի և հեռազննման  աշխատանքների  իրականացման  համար, որոնք լայն կիրառություն ունեն հիդրոմետեորոլոգիական, բնապահպանական, հողերի, կենսաբազմազանության և գյուղատնտեսական ոլորտներում
Ավելացումներ են նախատեսվել պահպանման ծախսերի  էներգետիկ ծախսեր / Հայհիդրոմետ  ՊՈԱԿ-ի    Կիևյան 8  հասցեում տեղակայված  մասնաշենքի  գազիֆիկացման հետ/,աշխարհատեղեկատվական և կենսաբազմազանության ուսումնասիրությունների   գործառույթների  ընդլայնման   հետ  կապված   գործուղումների և  պահպանման այլ ծախսերի  հոդվածներով</t>
    </r>
  </si>
  <si>
    <t xml:space="preserve">Հիդրոօդերևութաբանական դիտարկումների, կանխատեսումների,  տեղեկատվության մշակման, վերլուծության, արխիվացման և տրամադրման ենթահամակարգերի արդիականացում, տրամադրվող ծառայությունների որակի և հասանելիության մեխանիզմների զարգացում։ </t>
  </si>
  <si>
    <t>Շրջակա միջավայրի նախարարություն</t>
  </si>
  <si>
    <t xml:space="preserve"> Բնական պաշարների և բնության հատուկ պահպանվող տարածքների կառավարում և պահպանում</t>
  </si>
  <si>
    <t>ՀՀ  Արագածոտնի, Արարատի, Արմավիրի մարզերի և Երևան քաղաքի բնության հուշարձանների ուսումնասիրություն և անձնագրավորում</t>
  </si>
  <si>
    <r>
      <rPr>
        <sz val="8"/>
        <color indexed="8"/>
        <rFont val="GHEA Grapalat"/>
        <family val="3"/>
      </rPr>
      <t>Կապալառու կազմակերպության միջոցով նախատեսվում է կազմել կադաստրի կոմիտեի և համապատասխան համայնքների հետ համաձայնեցված բնության հուշարձանների անձնագրերի նախագծերի փաթեթ, որում յուրաքանչյուր բնության հուշարձանի անձնագրի նախագծում համաձայն «Բնության հատուկ պահպանվող տարածքների մասին» օրենքի 19-րդ հոդվածի 3-րդ մասի՝ պետք է ներառվի.
• անվանումը և դասակարգումը,
• տեղադիրքը և աշխարհագրական կոորդինատները (բնության հուշարձանը երկրատեղանքների տեսքով ներկայացնելու դեպքում՝ յուրաքանչյուր երկրատեղանքի համար),
• նկարագրությունը, չափագրությունը և վիճակը (բնության հուշարձանը երկրատեղանքների տեսքով ներկայացնելու դեպքում՝ յուրաքանչյուր երկրատեղանքի համար),
• սահմանների և պահպանման գոտու նկարագրությունը, մակերեսը, քարտեզ-հատակագիծը (բնության հուշարձանը երկրատեղանքների տեսքով ներկայացնելու դեպքում՝ յուրաքանչյուր երկրատեղանքի համար),
• տվյալնել սեփականատիրոջ և հողօգտագործողի մասին,
• պահպանության և օգտագորման ռեժիմի առնանձնահատկությունները,
• տվյալներ պահպանություն իրականացնող սուբյեկտի մասին
Վերջնական նպատակը՝ ՀՀ Արագածոտնի, Արարատի, Արմավիրի մարզերի և Երևան քաղաքի բնության բնության հուշարձանների անձնագրավորում:</t>
    </r>
    <r>
      <rPr>
        <sz val="8"/>
        <color indexed="10"/>
        <rFont val="GHEA Grapalat"/>
        <family val="3"/>
      </rPr>
      <t xml:space="preserve">
</t>
    </r>
  </si>
  <si>
    <r>
      <rPr>
        <b/>
        <sz val="8"/>
        <rFont val="GHEA Grapalat"/>
        <family val="3"/>
      </rPr>
      <t>1.</t>
    </r>
    <r>
      <rPr>
        <sz val="8"/>
        <rFont val="GHEA Grapalat"/>
        <family val="3"/>
      </rPr>
      <t xml:space="preserve"> դրանցից յուրաքանչյուրի վերաբերյալ հավաքագրել հավելյալ տեղեկատվություն՝ օգտվելով գիտական գրականության աղբյուրներից: Իրականացնել նաև երկրաբանական և տոպոգրաֆիական քարտեզների ուսումնասիրություն,
</t>
    </r>
    <r>
      <rPr>
        <b/>
        <sz val="8"/>
        <rFont val="GHEA Grapalat"/>
        <family val="3"/>
      </rPr>
      <t xml:space="preserve">2. </t>
    </r>
    <r>
      <rPr>
        <sz val="8"/>
        <rFont val="GHEA Grapalat"/>
        <family val="3"/>
      </rPr>
      <t xml:space="preserve">տեղում իրականացնել Որոշմամբ հաստատված բնության հուշարձանների երկրաբանական, ջրաերկրաբանական, բնապատմական և կենսաբանական առանձնահատկությունների ուսումնասիրման աշխատանքներ,
</t>
    </r>
    <r>
      <rPr>
        <b/>
        <sz val="8"/>
        <rFont val="GHEA Grapalat"/>
        <family val="3"/>
      </rPr>
      <t xml:space="preserve">3. </t>
    </r>
    <r>
      <rPr>
        <sz val="8"/>
        <rFont val="GHEA Grapalat"/>
        <family val="3"/>
      </rPr>
      <t>վերոնշյալ երկու կետերով նախատեսված աշխատանքների իրականացման արդյունքում</t>
    </r>
    <r>
      <rPr>
        <b/>
        <sz val="8"/>
        <rFont val="GHEA Grapalat"/>
        <family val="3"/>
      </rPr>
      <t xml:space="preserve"> </t>
    </r>
    <r>
      <rPr>
        <sz val="8"/>
        <rFont val="GHEA Grapalat"/>
        <family val="3"/>
      </rPr>
      <t xml:space="preserve">հավաքագրված տեղեկատվության, ինչպես նաև դաշտային ուսումնասիրություների հիման վրա, Որոշմամբ հաստատված յուրաքանչյուր բնության հուշարձանի համար կազմել մասնագիտորեն հիմնավորված առաջարկ՝ դրանց անձնագրավորման ենթակա կամ ոչ ենթակա լինելու կամ մասնակի / հատվածավորված (երկրատեղանքների կամ գեոսայթերի տեսքով) ենթակա լինելու վերաբերյալ` ներառելով համապատասխան թեմատիկ քարտեզագրական տեղեկատվություն,
</t>
    </r>
    <r>
      <rPr>
        <b/>
        <sz val="8"/>
        <rFont val="GHEA Grapalat"/>
        <family val="3"/>
      </rPr>
      <t xml:space="preserve">4. </t>
    </r>
    <r>
      <rPr>
        <sz val="8"/>
        <rFont val="GHEA Grapalat"/>
        <family val="3"/>
      </rPr>
      <t xml:space="preserve"> Որոշմամբ հաստատված և անձնագրավորման համար առանձնացված ցանկում «Անանուն» անվամբ բնության հուշարձաններին տալ մասնագիտորեն հիմնավորված անվանումներ՝ Հայաստանի Հանրապետության կառավարության «ՀՀ աշխարհագրական անվանումների հաշվառման գրանցման պետական քարտադարանի ստեղծման և վարման» №502 որոշմամբ հաստատված կարգի պահանջներին համապատասխան,
</t>
    </r>
    <r>
      <rPr>
        <b/>
        <sz val="8"/>
        <rFont val="GHEA Grapalat"/>
        <family val="3"/>
      </rPr>
      <t>5.</t>
    </r>
    <r>
      <rPr>
        <sz val="8"/>
        <rFont val="GHEA Grapalat"/>
        <family val="3"/>
      </rPr>
      <t xml:space="preserve"> հստակեցնել և չափագրել Որոշմամբ հաստատված բնության հուշարձանների տարածքները՝ անհրաժեշտ տեխնիկական սարքավորումներով իրականացնել անձնագրավորման ենթակա բնության հուշարձանների դաշտային չափագրումներ սահմանազատելով դրանց երկրաբանական, ջրաերկրաբանական, բնապատմական կամ կենսաբանական տեսանկյունից հիմնավորված պահպանման գոտիները,
</t>
    </r>
    <r>
      <rPr>
        <b/>
        <sz val="8"/>
        <rFont val="GHEA Grapalat"/>
        <family val="3"/>
      </rPr>
      <t>6.</t>
    </r>
    <r>
      <rPr>
        <sz val="8"/>
        <rFont val="GHEA Grapalat"/>
        <family val="3"/>
      </rPr>
      <t xml:space="preserve"> առանձնացված և սահմանազատված յուրաքանչյուր բնության հուշարձանի (կամ դրա երկրատեղանքների) զբաղեցրած տարածքները համաձայնեցնել ՀՀ կադաստրի կոմիտեի և համայնքի հետ, որի վարչական սահմաններում գտնվում է տվյալ բնության հուշարձանը կամ դրա երկրատեղանքները: Առանձնացնել մասնավոր սեփականության իրավունքով ծանրաբեռնված հողերից, ինչպես նաև հավաքագրել տեղեկատվություն՝ հողամասերի օգտագործման այլ սահմանափակումների վերաբերյալ (առկայության դեպքում),
</t>
    </r>
    <r>
      <rPr>
        <b/>
        <sz val="8"/>
        <rFont val="GHEA Grapalat"/>
        <family val="3"/>
      </rPr>
      <t>7.</t>
    </r>
    <r>
      <rPr>
        <sz val="8"/>
        <rFont val="GHEA Grapalat"/>
        <family val="3"/>
      </rPr>
      <t xml:space="preserve"> ճշգրտել և վերջնականացնել անձնագրավորման ենթակա բնության հուշարձանների տարածքների սահմանները՝ դրանցում բացառելով մասնավոր սեփականության իրավունքով ծանրաբեռնված հողամասերը և ընդգրկելով սեփականության իրավունքի պետական գրանցման, ինչպես նաև հողի նպատակային և գործառնական նշանակության փոփոխման ենթակա հողամասերը
</t>
    </r>
  </si>
  <si>
    <r>
      <rPr>
        <sz val="8"/>
        <color indexed="8"/>
        <rFont val="GHEA Grapalat"/>
        <family val="3"/>
      </rPr>
      <t xml:space="preserve">   Արագածոտնի, Արարատի, Արմավիրի մարզերում և Երևանում գտնվող բնության հուշարձանների անձնագրերի մշակման և հաստատման արդյունքում՝ կսահմանվի դրանց  գիտական նկարագրությունը, սահմանների նկարագիրը, աշխարհագրական կոորդինատները, հատակագիծը, պահպանության և օգտագործման ռեժիմի առանձնահատկությունները, կհստակեցվի հողօգտագործողների ինչպես նաև պահպանությունն իրականացնող սուբյեկտների շրջանակը: Արդյունքում՝ բնության հուշարձանների շուրջ կստեղծվի նաև զբոսաշրջային ծառայությունների կազմակերպման հնարավորություն, այդ թվում՝ զբոսաշրջային կլաստերներում ներգրավելու և դրանց շուրջ ներդրումային միջավայր ձևավորելու:
</t>
    </r>
    <r>
      <rPr>
        <sz val="8"/>
        <color indexed="10"/>
        <rFont val="GHEA Grapalat"/>
        <family val="3"/>
      </rPr>
      <t xml:space="preserve">
</t>
    </r>
  </si>
  <si>
    <t>2027 թվական</t>
  </si>
  <si>
    <t>շարունակական</t>
  </si>
  <si>
    <t>Ֆինանսական միջոցներն ուղղվելու են «Դիլիջան» ազգային պարկ» ՊՈԱԿ-ի պահպանման ծախսերին (աշխատավարձի վճարում):
Հաստիքային միավորների թիվը՝ 47։</t>
  </si>
  <si>
    <t>Միջոցառման շրջանակներում 2027-2029 թվականներին նախատեսվում է իրականացնել կենսաբանական ավիապայքարի աշխատանքներ վարակված անատառածածկ տարածքներում՝
 2027թ․_ 10000 հա, 40.0 հազ/լ միջատասպան 15.0 կգ սնկասպան
 2028թ․_ 20000 հա, 32.0 հազ/լ միջատասպան 12.0 կգ սնկասպան
 2029թ․_ 7000 հա, 28.0 հազ/լ միջատասպան 10.5 կգ սնկասպան</t>
  </si>
  <si>
    <t>2027 թվականին սուբվենցիոն ծրագրեր կիրականացվեն ՀՀ 10 մարզերի 27 համայնքներում:
2028 թվականին սուբվենցիոն ծրագրեր կիրականացվեն ՀՀ 10 մարզերի 29 համայնքներում, ինչպես նաև Երևան համայնքում։
2029 թվականին սուբվենցիոն ծրագրեր կիրականացվեն ՀՀ 10 մարզերի 29 համայնքներում, ինչպես նաև Երևան համայնքում։</t>
  </si>
  <si>
    <t>Պայմանավորված է գույքի և սարքավորումների մաշվածությամբ, արդիականացմամբ և տեխնիկական զինման բնականոն ընթացքի ապահովմամբ:
Գլոբալ տեղորոշման համակարգի սարք GPS ծախսի նախատեսումը պայմանավորված է ստորերկրյա և մակերևույթային ջրային ռեսուրսների տեղակայման (ջրառի կետի կոորդինատների) վայրերի ճշգրիտ տեղորոշման համար։</t>
  </si>
  <si>
    <t>Էկոպարեկային ծառայության շենքային պայմանների ապահովում</t>
  </si>
  <si>
    <t xml:space="preserve"> ՇԵՆՔԵՐ ԵՎ ՇԻՆՈՒԹՅՈՒՆՆԵՐ</t>
  </si>
  <si>
    <t xml:space="preserve"> - Շենքերի և շինությունների շինարարություն</t>
  </si>
  <si>
    <t xml:space="preserve"> - Շենքերի և շինությունների կապիտալ վերանորոգում</t>
  </si>
  <si>
    <t>Նախագծահետազոտական ծախսերի, շենքերի և շինությունների շինարարության և կապիտալ վերանորոգման իրականացում</t>
  </si>
  <si>
    <t>Հաստիքային միավորների թիվը՝ 351: 
Հատկացված գումարն ամբողջ ծավալով ուղղվում է «Հայանտառ» ՊՈԱԿ» ՊՈԱԿ-ի աշխատավարձի վճարմանը՝ 395.4 մլն դրամ դրամաշնորհի ԱԱՀ՝ 79.1 մլն դրամ։</t>
  </si>
  <si>
    <t xml:space="preserve"> Կենսաբազմազանության մասին կոնվենցիայի կողմերի 17-րդ համաժողովի (COP 17) կազմակերպում և անցկացում</t>
  </si>
  <si>
    <t xml:space="preserve">  ՀՀ կառավարություն</t>
  </si>
  <si>
    <t xml:space="preserve">  ԾԱՌԱՅՈՒԹՅՈՒՆՆԵՐԻ  ԵՎ   ԱՊՐԱՆՔՆԵՐԻ  ՁԵՌՔԲԵՐՈՒՄ</t>
  </si>
  <si>
    <t>Կենսաբազմազանության մասին կոնվենցիայի կողմերի 17-րդ համաժողովի (COP 17) կազմակերպման և անցկացման միջոցառում</t>
  </si>
  <si>
    <t xml:space="preserve"> Արարատյան դաշտի ապօրինի շահագործվող, ինքնաշատրվանող և
բացասական մակարդակով հորերի լուծարում և կոնսերվացում</t>
  </si>
  <si>
    <t>ԱՅԼ ԾԱԽՍԵՐ</t>
  </si>
  <si>
    <t>Արարատյան դաշտի ապօրինի շահագործվող, ինքնաշատրվանող և
բացասական մակարդակով հորերի լուծարման և կոնսերվացման աշխատանքների ձեռքբերում</t>
  </si>
  <si>
    <t>Աշխատանքների կատարում</t>
  </si>
  <si>
    <t>Ֆինանսական միջոցներն ուղղվելու են «Արփի լիճ» ազգային պարկ» ՊՈԱԿ-ի պահպանման ծախսերին:
Հաստիքային միավորների թիվը՝ 20:
«Արփի լիճ» ազգային պարկ»  ՊՈԱԿ-ի  2027-2029թթ. բյուջետային հայտում  նախատեսվում է 4781․3 հազար ՀՀ դրամ ավել ֆինանսավորում, որը ուղղվելու է աշխատակիցների աշխատավարձերի բարձրացմանը՝ 3918․0 հազար ՀՀ դրամ գումարի չափով՝ տարվա համար, 747․042 հազար ՀՀ դրամ՝  ԱԱՀ-ի ծախսին , իսկ 116․258 հազար ՀՀ դրամը ընթացիկ ծախսերի ավելացմանը։</t>
  </si>
  <si>
    <t>«ԲԾԻԳ» ՊՀ կողմից իրականացվող դրամաշնորհային ծրագրեր</t>
  </si>
  <si>
    <t>Ֆինանսական միջոցներն ուղղվելու են Հիմնադրամի և դրա ներքո գործող «Սևան ակվա» և «Սևանի իշխան» ՓԲԸ պահպանման առաջնահերթ ծախսերի իրականացմանը։</t>
  </si>
  <si>
    <t>Հաշվի առնելով 2027-2029 թվականներին նախատեսվելիք անտառապատման ծավալների ավելացումը՝ նախորդ տարիներին հիմնադրված անտառմշակույթների և տնկարանների ագրոտեխնիկական խնամքի, ինչպես նաև նախորդ տարիներին հիմնադրված անտառմշակույթների լրացման աշխատանքների ծավալները ևս կավելանան։ Արդյունքում պետական բյուջեի և ծրագրի ֆինանսավորմամբ հիմնադրված անտառմշակույթների համար (ներառյալ նախորդ տարիներին հիմնադրված անտառմշակույթների խնամքի և լրացման աշխատանքները) ծախսն ըստ տարիների համապատասխանաբար կավելանա և կկազմի՝ 2027 թվականին՝ 2,910,504.41 հազ. դրամ, 2028 թվականին՝ 2,898,759.81 հազ. դրամ և 2029 թվականին՝ 3,795,307.44 հազ. դրամ։</t>
  </si>
  <si>
    <t>Ծրագրի /միջոցառում անվանումը</t>
  </si>
  <si>
    <t>2025թ. փաստ (հազ. դրամ)</t>
  </si>
  <si>
    <t>2026թ. հաստատված (հազ. դրամ)</t>
  </si>
  <si>
    <t>2027թ. հայտ (հազ. դրամ)</t>
  </si>
  <si>
    <t>Երևան քաղաք</t>
  </si>
  <si>
    <t>ՀՀ Արագածոտնի մարզ</t>
  </si>
  <si>
    <t>ՀՀ Արարատի մարզ</t>
  </si>
  <si>
    <t>ՀՀ Արմավիրի մարզ</t>
  </si>
  <si>
    <t>ՀՀ Գեղարքունիքի մարզ</t>
  </si>
  <si>
    <t>ՀՀ Լոռու մարզ</t>
  </si>
  <si>
    <t>ՀՀ Կոտայքի մարզ</t>
  </si>
  <si>
    <t>ՀՀ Սյունիքի մարզ</t>
  </si>
  <si>
    <t>ՀՀ Վայոց Ձորի մարզ</t>
  </si>
  <si>
    <t>ՀՀ Շիրակի մարզ</t>
  </si>
  <si>
    <t>ՀՀ Տավուշի մարզ</t>
  </si>
  <si>
    <t xml:space="preserve"> 1016</t>
  </si>
  <si>
    <t xml:space="preserve"> 11001</t>
  </si>
  <si>
    <t>Արարատյան դաշտի ապօրինի շահագործվող, ինքնաշատրվանող և
բացասական մակարդակով հորերի լուծարում և կոնսերվացում</t>
  </si>
  <si>
    <t xml:space="preserve"> 11004</t>
  </si>
  <si>
    <t xml:space="preserve"> 11006</t>
  </si>
  <si>
    <t xml:space="preserve"> 11009</t>
  </si>
  <si>
    <t>«Հայաստանի դիմակայուն լանդշաֆտներ»  դրամաշնորհային ծրագիր</t>
  </si>
  <si>
    <t xml:space="preserve"> 11010</t>
  </si>
  <si>
    <t xml:space="preserve"> «Սևանա լճի ավազանում հողային ռեսուրսների և արժեքավոր էկոհամակարգերի պահպանում և կայուն կառավարում`  ուղղված բազմակի օգուտների» դրամաշնորհային ծրագիր</t>
  </si>
  <si>
    <t xml:space="preserve"> 1071</t>
  </si>
  <si>
    <t xml:space="preserve"> 11002</t>
  </si>
  <si>
    <t xml:space="preserve"> Էկոպարեկային ծառայություն</t>
  </si>
  <si>
    <t xml:space="preserve"> 11005</t>
  </si>
  <si>
    <t xml:space="preserve"> 31001</t>
  </si>
  <si>
    <t xml:space="preserve"> Էկոպարեկային  ծառայության տեխնիկական կարողությունների ընդլայնում</t>
  </si>
  <si>
    <t xml:space="preserve"> 31003</t>
  </si>
  <si>
    <t xml:space="preserve"> Էկոպարեկային ծառայության շենքային պայմաններով ապահովում</t>
  </si>
  <si>
    <t xml:space="preserve"> 1133</t>
  </si>
  <si>
    <t xml:space="preserve"> 12001</t>
  </si>
  <si>
    <t xml:space="preserve"> 1155</t>
  </si>
  <si>
    <t>Գերմանիայի զարգացման վարկերի բանկի (KFW) կողմից
տրամադրվող դրամաշնորհային ծրագրի շրջանակներում
ՀՀ Սյունիքի մարզի բնության հատուկ պահպանվող
տարածքների կառավարման բարելավմանն ուղղված
ծրագրերի իրականացում</t>
  </si>
  <si>
    <t xml:space="preserve"> 11003</t>
  </si>
  <si>
    <t xml:space="preserve"> «Դիլիջան» ազգային պարկի  կառավարում</t>
  </si>
  <si>
    <t xml:space="preserve"> «Արգելոցապարկային համալիր» բնության հատուկ պահպանվող տարածքների  կառավարում</t>
  </si>
  <si>
    <t xml:space="preserve"> 11007</t>
  </si>
  <si>
    <t xml:space="preserve"> «Խոսրովի անտառ» պետական արգելոցի  կառավարում</t>
  </si>
  <si>
    <t xml:space="preserve"> «Արփի լիճ» ազգային պարկի  կառավարում</t>
  </si>
  <si>
    <t xml:space="preserve"> «Զանգեզուր կենսոլորտային համալիր » բնության հատուկ պահպանվող տարածքների կառավարում</t>
  </si>
  <si>
    <t xml:space="preserve"> 11012</t>
  </si>
  <si>
    <t xml:space="preserve"> 12004</t>
  </si>
  <si>
    <t>Գերմանիայի զարգացման վարկերի բանկի (KFW) կողմից
տրամադրվող դրամաշնորհային ծրագրի շրջանակներում
ՀՀ Սյունիքի մարզի բնության հատուկ պահպանվող
տարածքների պահպանությունն իրականացնող պետական
կազմակերպությունների կարողությունների զարգացում</t>
  </si>
  <si>
    <t xml:space="preserve"> 1173</t>
  </si>
  <si>
    <t xml:space="preserve"> Անտառկառավարման և անտառտնտեսական  ծառայություններ</t>
  </si>
  <si>
    <t xml:space="preserve"> 32001</t>
  </si>
  <si>
    <t xml:space="preserve"> 1186</t>
  </si>
  <si>
    <t>Գետերի հուների մաքրման և ափերի ամրացման աշխատանքներ</t>
  </si>
  <si>
    <t>Ջրային ռեսուրսների հուների մաքրում կենցաղային աղբից, ջրաբերուկներից, տիղմից և բնական հոսքը խոչընդոտող այլ օբյեկտներից՝ ջրային էկոհամակարգերի պահպանության, հեղեղումների կանխարգելման, բնակչության անվտանգության ապահովման և ափերի էրոզիայից պաշտպանության նպատակով</t>
  </si>
  <si>
    <t>Գետերի բնական հոսքի վերականգնում և պահպանում, հեղեղումների, գարնանային վարարումների և սելավների վտանգի նվազեցում, բնակչության կյանքի, առողջության և գույքի անվտանգության բարձրացում, գյուղատնտեսական հողատեսքերի պաշտպանություն</t>
  </si>
  <si>
    <t>2027 և շարունակական</t>
  </si>
  <si>
    <t>Կառավարության 11․12․2025թ N1816-Ն որոշում,                                                                   Կառավարության 2021 թվականի օգոստոսի 18-ի N 1363-Ա որոշման հավելվածի «4.10 Շրջակա միջավայրի պահպանություն» բաժնի առաջնահերթ ուղղությունից՝ «ջրային ռեսուրսների արդյունավետ օգտագործման և որակի բարձրացման նպատակով կառավարման գերարդյունավետ համակարգերի ներդրումը, ջրային ռեսուրսների պահպանման, այդ թվում` ջրահեռացման ու կեղտաջրերի մաքրման գործընթացի կանոնակարգումը, Արարատյան արտեզյան ավազանի և գետային էկոհամակարգերի պահպանությունն ու կառավարումը»</t>
  </si>
  <si>
    <t xml:space="preserve">Պետական մարմնի անվանումը </t>
  </si>
  <si>
    <t>Պետական մարմնի անվանումը</t>
  </si>
  <si>
    <t>2026-2028թթ կադաստրի վարման միջոցառման շրջանակներում կիրականացվի համայնքներից անտառապատման նպատակով տրամադրվող տարածքների, անտառկառավարման պլանների մշակման արդյունքում ի հայտ եկած կադաստրային շեղումների շտկման և անտառային հողերի վարձակալական նպատակներով տրամադրման համար չափագրման աշխատանքներ՝ յուրաքանչյուր տարվա կտրվածքով 75 հա (1 հա 40.0 հազ․դրամ):</t>
  </si>
  <si>
    <t>«Սևան» ազգային պարկի կառավարում
Հաստիքային միավորների թիվը՝ 60.5:</t>
  </si>
  <si>
    <r>
      <rPr>
        <sz val="8"/>
        <rFont val="GHEA Grapalat"/>
        <family val="3"/>
      </rPr>
      <t>Գետերի հուների թվային եռաչ</t>
    </r>
    <r>
      <rPr>
        <sz val="8"/>
        <color theme="1"/>
        <rFont val="GHEA Grapalat"/>
        <family val="3"/>
      </rPr>
      <t>ափ մոդելավորմամբ ձևավորված ռեեստրի տվյալների, հիդրոօդերևութաբանական կանխատեսումների և իրավասու մարմինների ներկայացրած առաջարկությունների հիման վրա մշակված տարեկան պլանի շրջանակներում առաջնահերթ մա</t>
    </r>
    <r>
      <rPr>
        <sz val="8"/>
        <rFont val="GHEA Grapalat"/>
        <family val="3"/>
      </rPr>
      <t>քրման ենթակա գետերում                                    կուտակված աղբի և</t>
    </r>
    <r>
      <rPr>
        <sz val="8"/>
        <color theme="1"/>
        <rFont val="GHEA Grapalat"/>
        <family val="3"/>
      </rPr>
      <t xml:space="preserve"> ջրաբերուկների պարբերաբար հավաքման, հունից դրանց հեռացման և կուտակիչ համակարգերի սպասարկման գործընթացների իրականացում  «Գնումների մասին» օրենքի համաձայն ընտրված կապալառու կազմակերպության կողմից՝ դաշտային ուսումնասիրություններ և գույքագրում, նախագծանախահաշվային փաստաթղթերի մշակում, հունի մաքրում,  աղբի ժամանակավոր կուտակում և տեղափոխում, մշտադիտարկում և վերահսկում, ըստ անհրաժեշտության ՝ ափերի ամրացում, կուտակիչ համակարգերի նախագծում և կառուցում, պարբերական սպասարկում</t>
    </r>
  </si>
  <si>
    <t>Պետական մարմնի անվանումը ___________________</t>
  </si>
  <si>
    <t>Բնության պահպանության միջազգային միության (IUCN) անդամակցության 2027 թվականի անդամավճարի ապահովում</t>
  </si>
  <si>
    <t>Անդամակցության համար նախատեսված տարեկան անդամավճարի ապահովում</t>
  </si>
  <si>
    <t>8,273 շվեյցարական ֆրանկ</t>
  </si>
  <si>
    <t>Անդամավճարները վճռորոշ նշանակություն ունեն IUCN-ի գործունեության ֆինանսավորման համար՝ աջակցելով Միության ծրագրերի իրականացմանն ու կառավարմանը, գլոբալ գործընկերային ցանցերի ձևավորմանն ու հաղորդակցությանը, ինչպես նաև գիտելիքի և փորձի փոխանակմանը։ ։</t>
  </si>
  <si>
    <t>Մասնակցություն գլոբալ գործընթացներին, ծրագրերին։ Կենսաբազմազանության պահպանության շրջանակներում լավագույն փորձի կիրարկում։1. Միջազգային փորձի և գիտական ցանցի հասանելիություն
IUCN-ը համաշխարհային մակարդակի բնապահպանական փորձագիտական հարթակ է։ Անդամակցությունը հնարավորություն է տալիս Հայաստանին՝
օգտվել կենսաբազմազանության պահպանման լավագույն միջազգային փորձից,
համագործակցել գիտնականների, բնապահպանական կազմակերպությունների և կառավարությունների հետ,
ստանալ խորհրդատվություն պահպանվող տարածքների, անտառների, ջրային ռեսուրսների և կլիմայական քաղաքականության հարցերում։
2. Ֆինանսավորման և դրամաշնորհների հնարավորություններ
IUCN-ի հետ համագործակցությունը հաճախ հեշտացնում է մուտքը միջազգային բնապահպանական ֆոնդերի և ծրագրերի։
Սա կարող է օգնել Հայաստանին՝
ֆինանսավորել ազգային պարկերի և արգելոցների զարգացումը,
իրականացնել վերականգնողական ծրագրեր,
զարգացնել կայուն գյուղատնտեսություն և էկոտուրիզմ։
3. Կենսաբազմազանության պահպանության ուժեղացում
Հայաստանը հարուստ է էնդեմիկ տեսակներով և լեռնային էկոհամակարգերով։ IUCN-ի մեթոդաբանությունները կարող են աջակցել՝
վտանգված տեսակների գնահատմանը,
«Կարմիր գրքի» թարմացմանը,
բնական միջավայրերի պահպանման ռազմավարությունների մշակմանը։
Օրինակ՝ IUCN Red List-ը համարվում է աշխարհում տեսակների պահպանության ամենահեղինակավոր գնահատման համակարգերից։
4. Հայաստանի միջազգային հեղինակության բարձրացում
Բնապահպանական միջազգային կառույցներում ակտիվ ներգրավվածությունը ցույց է տալիս, որ երկիրը հավատարիմ է կայուն զարգացման և բնության պահպանության սկզբունքներին։
Սա կարող է՝
ամրապնդել Հայաստանի դիրքը միջազգային բանակցություններում,
բարելավել երկրի «կանաչ» իմիջը,
խթանել բնապահպանական դիվանագիտությունը։
5. Կլիմայական փոփոխությունների դեմ պայքարի աջակցություն
IUCN-ը մեծ փորձ ունի կլիմայական ադապտացիայի և բնահեն լուծումների (nature-based solutions) ոլորտում։
Հայաստանը կարող է ստանալ աջակցություն՝
անապատացման դեմ պայքարում,
ջրային ռեսուրսների կառավարման մեջ,
անտառապատման և հողերի վերականգնման ծրագրերում։
6. Էկոտուրիզմի և «կանաչ» տնտեսության զարգացում
Պահպանվող տարածքների արդյունավետ կառավարումը կարող է խթանել էկոտուրիզմը Հայաստանում՝</t>
  </si>
  <si>
    <r>
      <t xml:space="preserve"> «Հայաստանի Հանրապետության կենսաբանական բազմազանության ազգային ռազմավարությունը և գործողությունների ծրագիրը (2025-2030 թվական) հաստատելու մասին»</t>
    </r>
    <r>
      <rPr>
        <sz val="8"/>
        <color theme="1"/>
        <rFont val="Calibri"/>
        <family val="2"/>
      </rPr>
      <t> </t>
    </r>
    <r>
      <rPr>
        <sz val="8"/>
        <color theme="1"/>
        <rFont val="GHEA Grapalat"/>
        <family val="3"/>
      </rPr>
      <t xml:space="preserve"> Կառավարության որոշմամբ հաստատված միջոցառումների իրականացում</t>
    </r>
  </si>
  <si>
    <t xml:space="preserve">ՊԱՐՏԱԴԻՐ՝ Անդամակցության այնպիսի իրավունքներ, ինչպիսիք են առաջարկությունների ներկայացումը, քվեարկությունը և ընտրություններին մասնակցությունը, կկասեցվեն, եթե անդամավճարի պարտքը կազմի մեկ տարի: Իսկ բոլոր մնացած իրավունքները կարող են չեղարկվել, եթե պարտքը կազմի երկու տարի </t>
  </si>
  <si>
    <t xml:space="preserve">«Արգելոցապարկային համալիր» ՊՈԱԿ
Հաստիքային միավորների թիվը՝ 40:
Քանի, որ 2026 թվականի համար պայմանագիրը գործելու է հունիսի 01-ից սկսած, ուստի ս/թ.-ի համար ծախսերը հաշվարկվել են համամասնորեն՝ 7 ամսվա կտրվածքով (հունիս–դեկտեմբեր)։ Ընդհանուր ծախսերը 7 ամսվա համար կազմում են 22 086,8 հազ.դրամ, որից հողամասի վարձավճարը՝ 14 305,0  հազ.դրամ, շահութահարկը՝ 2 059,9 հազ.դրամ, իսկ ավելացված արժեքի հարկը՝ 5 721,9 հազ.դրամ։
2027-2029թթ. թվականների համար ծախսերը հաշվարկվել են ամբողջական՝ յուրաքանչյուր տարվա համար 12 ամիսների կտրվածքով, որը կազմում է՝ 37 863,2 հազ.դրամ, որից հողամասի վարձավճարը՝ 24 522,8  հազ.դրամ, շահութահարկը՝ 3 531,3 հազ.դրամ, իսկ ավելացված արժեքի հարկը՝ 9 809,1 հազ.դրամ։
Ծախսերի հաշվարկի հիմքում դրվել են կառուցապատման իրավունքով տրամադրվող հողամասի տարեկան վարձավճարը, ԱԱՀ-ն և շահութահարկը: 
Վերոնշյալ ծախսերը ենթակա են փոխհատուցման Հայաստանի Հանրապետության պետական բյուջեի միջոցների հաշվին՝ Կառավարության 2026 թվականի ապրիլի 9-ի N 456-Ա որոշմամբ սահմանված առաջին 60 ամիսների ընթացքում։
</t>
  </si>
  <si>
    <r>
      <t>Ձևաչափ N 2. Նոր նախաձեռնությունների ներկայացման ձևաչափ</t>
    </r>
    <r>
      <rPr>
        <vertAlign val="superscript"/>
        <sz val="12"/>
        <color theme="1"/>
        <rFont val="GHEA Grapalat"/>
        <family val="3"/>
      </rPr>
      <t>2</t>
    </r>
  </si>
  <si>
    <t>Արդյունաբերական թափոնների ազդեցության գոտիներում գտնվող անտառտնտեսությունների և հատուկ պահպանվող տարածքների հողերի մոնիթորինգի փորձահրապարակների ստեղծման 2027-2029 ԹՎԱԿԱՆՆԵՐԻ ՄԻՋՆԱԺԱՄԿԵՏ ԾԱԽՍԱՅԻՆ ԾՐԱԳՐԻ ՀԱՅՏ</t>
  </si>
  <si>
    <r>
      <t>Պետական մարմնի անվանումը</t>
    </r>
    <r>
      <rPr>
        <vertAlign val="superscript"/>
        <sz val="10"/>
        <color theme="1"/>
        <rFont val="GHEA Grapalat"/>
        <family val="3"/>
      </rPr>
      <t>3</t>
    </r>
    <r>
      <rPr>
        <sz val="10"/>
        <color theme="1"/>
        <rFont val="GHEA Grapalat"/>
        <family val="3"/>
      </rPr>
      <t xml:space="preserve">՝ </t>
    </r>
    <r>
      <rPr>
        <vertAlign val="superscript"/>
        <sz val="10"/>
        <color theme="1"/>
        <rFont val="GHEA Grapalat"/>
        <family val="3"/>
      </rPr>
      <t/>
    </r>
  </si>
  <si>
    <t xml:space="preserve"> Շրջակա միջավայրի նախարարություն</t>
  </si>
  <si>
    <r>
      <t>Նոր նախաձեռնությանն առնչվող այլ պետական մարմինների անվանումները</t>
    </r>
    <r>
      <rPr>
        <vertAlign val="superscript"/>
        <sz val="10"/>
        <color theme="1"/>
        <rFont val="GHEA Grapalat"/>
        <family val="3"/>
      </rPr>
      <t>4</t>
    </r>
    <r>
      <rPr>
        <sz val="10"/>
        <color theme="1"/>
        <rFont val="GHEA Grapalat"/>
        <family val="3"/>
      </rPr>
      <t>՝</t>
    </r>
  </si>
  <si>
    <t>ՀՀ կառավարության 19.02.2009թ. N276-Ն որոշմամբ՝ ՀՀ շրջակա միջավայրի նախարարությունը ճանաչվել է հողերի մոնիթորինգի (բացառությամբ կառուցապատված և կառուցապատման համար նախատեսված հողերի) բնագավառում ՀՀ կառավարության լիազորված պետական կառավարման մարմին, ինչպես նաև հստակեցվել են հողերի վիճակի մոնիթորինգի իրականացման, տեղեկատվության ստացման, հավաքագրման և փոխանակման գործընթացներին վերաբերվող ընթացակարգերը:</t>
  </si>
  <si>
    <r>
      <t xml:space="preserve">Ծրագրի անվանումը՝ </t>
    </r>
    <r>
      <rPr>
        <vertAlign val="superscript"/>
        <sz val="10"/>
        <color theme="1"/>
        <rFont val="GHEA Grapalat"/>
        <family val="3"/>
      </rPr>
      <t>6</t>
    </r>
    <r>
      <rPr>
        <sz val="10"/>
        <color theme="1"/>
        <rFont val="GHEA Grapalat"/>
        <family val="3"/>
      </rPr>
      <t xml:space="preserve"> </t>
    </r>
  </si>
  <si>
    <r>
      <t xml:space="preserve">Ծրագրի դասիչը՝ </t>
    </r>
    <r>
      <rPr>
        <vertAlign val="superscript"/>
        <sz val="10"/>
        <color theme="1"/>
        <rFont val="GHEA Grapalat"/>
        <family val="3"/>
      </rPr>
      <t>7</t>
    </r>
  </si>
  <si>
    <r>
      <rPr>
        <b/>
        <sz val="9"/>
        <color theme="1"/>
        <rFont val="GHEA Grapalat"/>
        <family val="3"/>
      </rPr>
      <t>Հողերի աղտոտվածության մոնիթորինգային համակարգի ստեղծումը հանդիսանում է նոր նախաձեռնության, ենթադրում է նոր ծրագրի իրականացում</t>
    </r>
    <r>
      <rPr>
        <sz val="9"/>
        <color theme="1"/>
        <rFont val="GHEA Grapalat"/>
        <family val="3"/>
      </rPr>
      <t xml:space="preserve">: </t>
    </r>
  </si>
  <si>
    <r>
      <t>Ծրագրի/ միջոցառման նախատեսվող ավարտը</t>
    </r>
    <r>
      <rPr>
        <vertAlign val="superscript"/>
        <sz val="9"/>
        <color theme="1"/>
        <rFont val="GHEA Grapalat"/>
        <family val="3"/>
      </rPr>
      <t>9</t>
    </r>
  </si>
  <si>
    <r>
      <t>Միջոցառման անվանումը՝</t>
    </r>
    <r>
      <rPr>
        <vertAlign val="superscript"/>
        <sz val="9"/>
        <color theme="1"/>
        <rFont val="GHEA Grapalat"/>
        <family val="3"/>
      </rPr>
      <t>10</t>
    </r>
  </si>
  <si>
    <r>
      <t>Միջոցառման դասիչը</t>
    </r>
    <r>
      <rPr>
        <vertAlign val="superscript"/>
        <sz val="9"/>
        <color theme="1"/>
        <rFont val="GHEA Grapalat"/>
        <family val="3"/>
      </rPr>
      <t>11</t>
    </r>
    <r>
      <rPr>
        <sz val="9"/>
        <color theme="1"/>
        <rFont val="GHEA Grapalat"/>
        <family val="3"/>
      </rPr>
      <t>՝</t>
    </r>
    <r>
      <rPr>
        <sz val="10"/>
        <color theme="1"/>
        <rFont val="GHEA Grapalat"/>
        <family val="3"/>
      </rPr>
      <t xml:space="preserve">    </t>
    </r>
  </si>
  <si>
    <r>
      <t>Միջոցառման (պետության միջամտության) տեսակը՝</t>
    </r>
    <r>
      <rPr>
        <vertAlign val="superscript"/>
        <sz val="10"/>
        <color theme="1"/>
        <rFont val="GHEA Grapalat"/>
        <family val="3"/>
      </rPr>
      <t xml:space="preserve">12 </t>
    </r>
  </si>
  <si>
    <r>
      <t>Նոր նախաձեռնության բնույթը</t>
    </r>
    <r>
      <rPr>
        <vertAlign val="superscript"/>
        <sz val="9"/>
        <color theme="1"/>
        <rFont val="GHEA Grapalat"/>
        <family val="3"/>
      </rPr>
      <t>13</t>
    </r>
    <r>
      <rPr>
        <sz val="9"/>
        <color theme="1"/>
        <rFont val="GHEA Grapalat"/>
        <family val="3"/>
      </rPr>
      <t>՝</t>
    </r>
  </si>
  <si>
    <r>
      <t>Ծախսային պարտավորության բնույթը</t>
    </r>
    <r>
      <rPr>
        <vertAlign val="superscript"/>
        <sz val="9"/>
        <color theme="1"/>
        <rFont val="GHEA Grapalat"/>
        <family val="3"/>
      </rPr>
      <t>14</t>
    </r>
  </si>
  <si>
    <r>
      <t>Պարտադիր կամ հայեցողական  պարտավորությունների շրջանակը</t>
    </r>
    <r>
      <rPr>
        <vertAlign val="superscript"/>
        <sz val="9"/>
        <color theme="1"/>
        <rFont val="GHEA Grapalat"/>
        <family val="3"/>
      </rPr>
      <t>15</t>
    </r>
  </si>
  <si>
    <r>
      <t>Պարտադիր պարտավորության շրջանակներում գործադիր մարմնի հայեցողական իրավասությունների շրջանակները</t>
    </r>
    <r>
      <rPr>
        <vertAlign val="superscript"/>
        <sz val="9"/>
        <color theme="1"/>
        <rFont val="GHEA Grapalat"/>
        <family val="3"/>
      </rPr>
      <t>16</t>
    </r>
  </si>
  <si>
    <r>
      <t>Պարտադիր կամ հայեցողական պարտավորությունը սահմանող օրենսդրական հիմքերը</t>
    </r>
    <r>
      <rPr>
        <vertAlign val="superscript"/>
        <sz val="9"/>
        <color theme="1"/>
        <rFont val="GHEA Grapalat"/>
        <family val="3"/>
      </rPr>
      <t>17</t>
    </r>
  </si>
  <si>
    <t>Սույն միջոցառումը ներառվում է պարտադիր պարտավորությունների շրջանակում, քանի որ ուղղված է ՀՀ օրենսդրությամբ և կառավարության ծրագրային փաստաթղթերով սահմանված՝ հողերի պահպանության, աղտոտվածության գնահատման և մոնիթորինգի ապահովման գործառույթների իրականացմանը։
Պարտադիր պարտավորությունների շրջանակում միջոցառումը նախատեսում է՝
•	արդյունաբերական (ընդերքօգտագործման) գործունեության ազդեցության գոտիներում գտնվող անտառտնտեսական և հատուկ պահպանվող տարածքներում հողերի վիճակի պարբերական մոնիթորինգի իրականացում,
•	հողերի տեխնածին աղտոտվածության և դեգրադացման վաղաժամ հայտնաբերում և ռիսկերի գնահատում,
•	աղտոտված հողատարածքների վերաբերյալ միասնական և համակարգված տեղեկատվության ձևավորում և վարում,
•	հողերի աղտոտվածության տվյալների օգտագործում հողերի ռեկուլտիվացման, պահպանության և վերականգնման ծրագրերի մշակման և վերահսկման գործընթացներում,
•	պետական կառավարման և տեղական ինքնակառավարման մարմինների, ինչպես նաև շահագրգիռ այլ կողմերի ապահովում հողերի որակի վերաբերյալ հուսալի և ժամանակին տեղեկատվությամբ։
Միաժամանակ միջոցառումը նպաստում է ՀՀ կողմից ստանձնած միջազգային բնապահպանական պարտավորությունների կատարմանը և շրջակա միջավայրի կառավարման արդյունավետության բարձրացմանը՝ առանց հանդիսանալու հայեցողական բնույթի նախաձեռնություն։</t>
  </si>
  <si>
    <t>ՀՀ վարչապետի  2018թ․ հունիսի 11-ի №745-Լ որոշմամբ  ծրագրի   իրականացման հարցում  լիազոր մարմին է ճանաչվել Շրջակա միջավայրի նախարարությունը։</t>
  </si>
  <si>
    <t>ՀՀ հողային օրենսգրքի 32-րդ հոդված,Կառավարության 2019թ. փետրվարի 8-ի N65-Ա որոշման հավելվածի 4.8 բաժին և ՀՀ կառավարության 2009թ. փետրվարի 19-ի N276-Ն որոշում, Կառավարության 2021թ. նոյեմբերի 18-ի N1902-Լ որոշման հավելված 1-ի շրջակա միջավայր բաժնի 10.1 կետ:</t>
  </si>
  <si>
    <r>
      <t>Նպատակը</t>
    </r>
    <r>
      <rPr>
        <vertAlign val="superscript"/>
        <sz val="9"/>
        <color theme="1"/>
        <rFont val="GHEA Grapalat"/>
        <family val="3"/>
      </rPr>
      <t xml:space="preserve">18 </t>
    </r>
  </si>
  <si>
    <t>Հայաստանը խիստ սակավահող երկիր է և Հանրապետության հողերի դեգրադացման և աղտոտման հիմնական աղբյուրներից մեկը ընդերքօգտագործումն է: Լեռնահանքային ճյուղի օբյեկտների և ենթակառուցվածքների գործունեության արդյունքում բացասական ազդեցություններ են դրսևորվում հողերի, լանդշաֆտային և կենսաբանական բազմազանության վրա: Հանքարդյունաբերական ուղղվածություն ունեցող համայնքներում՝ Ալավերդի, Շամլուղ, Ախթալա, Կապան, Քաջարան, Ագարակ, Սոթք, Մեղրաձոր, Արարատ և Լիճքվազ, հանքարդյունաբերական ոլորտի հետ կապված շրջակա միջավայրի վրա բացասական ազդեցությունների նվազեցման/չեզոքացման գործողությունների համար հիմք ծառայող աղտոտված հողերի մոնիթորինգի իրականացումը հանդիսանում է առաջնահերթ: ՀՀ հողերի արդյունավետ օգտագործման և պահպանության նպատակով հողերի վիճակի ուսումնասիրության, գնահատման և դրա փոփոխության ժամանակին բացահայտման (աղտոտվածության մոնիթորինգը)  անհրաժեշտությունը բխում է ՀՀ հողային օրենսգրքի 32-րդ հոդվածի և ՀՀ կառավարության 19.02.2009թ. N276-Ն որոշման դրույթներից: Օրենսդրորեն հստակ սահմանված են նաև հողերի մոնիթորինգի իրականացման ցուցանիշները, սակայն ներկայումս Հայաստանում տարբեր կազմակերպությունների կողմից իրականացվում է հողերի աղտոտվածության ոչ կարգավորված և էպիզոդիկ բնույթ կրող մոնիթորինգ։ Հողերի աղտոտվածության դիտարկման աշխատանքները կատարվում են տարբեր մակարդակներով, ոչ լիարժեք, ինչի արդյունքում բացակայում է հողերի որակի մոնիթորինգի և դրա վերաբերյալ տեղեկատվության մշտական գործող ու կանոնակարգված համակարգ։ Հողերի վիճակի, դրանց վրա տեխնածին ազդեցություն ունեցող գործոնների դիտարկման, վիճակի գնահատման ու կանխատեսման կանոնակարգված գործընթացի բացակայությունը բացասաբար է անդրադառնում հողերի պահպանության ոլորտի քաղաքականությունների, ծրագրերի և նախագծերի իրականացման վրա, քանի որ բացակայում է ՀՀ տարածքի տեխնածին աղտոտված հողերի վերաբերյալ առաջնային համապարփակ  տեղեկատվական բազան:Շրջակա միջավայրի նախարարության «Հիդրոօդերևութաբանության և մոնիթորինգի կենտրոն» ՊՈԱԿ-ի կողմից իրականացվում են հողերի աղտոտվածության մոնիթորինգի աշխատանքներ։
Վերջին երկու տարիների ոլորտի (համակարգի) զարգացման միտումները․ Հողերի աղտոտվածության մոնիթորինգը մինչ 2020 թվականն իրականացվում էր միայն Ծաղկաձոր քաղաքի 10 դիտակետում: 
2020 թվականի «ՀՄԿ» ՊՈԱԿ-ի ինստիտուցիոնալ փոփոխությունների արդյունքում ընդլայնվեց հողերի աղտոտվածության մոնիթորինգի ծրագիրը: Ներկայումս հողերի աղտոտվածության մոնիթորինգի հաստատված դիտացանց չկա և նախկինում ևս դիտացանց չի եղել, քանի որ մինչ այժմ հողերի աղռտովածության հետազոտությունները ՀՀ-ում կրել են էպիզոդիկ բնույթ: Դիտացանցի հաստատման համար անհրաժեշտ է ունենալ նվազագույնը երկու տարվա հետազոտությունների արդյունքներ, ինչը թույլ կտա որոշակիորեն սահմանել տարածքներ հետագա պարտադիր մոնիթորինգի համար:
2020-2021 թվականների ընթացքում հողերի աղտոտվածության մոնիթորինգն իրականացվել է Լոռի, Վայոց Ձոր, Սյունիք, Արարատ, Արմավիր և Շիրակի մարզերի 118 տեղամասերում, որտեղ որոշվել են թվով 34 տարրերի` հիմնական ծանր մետաղների և տարրերի պարունակությունները: Հողերի աղտոտվածության մոնիթորինգն իրականացվել է հիմնականում չաղտոտված կամ նվազագույն աղտոտված տարածքներում՝ նպատակ ունենալով որոշել մետաղների և տարրերի կոնցենտրացիաները այդ տարածքներում, ինչը կարևոր է տարածքին բնորոշ հողերի աղտոտվածության նորմերի մշակման համար: Առանց բնական ֆոնային կոնցենտրացիաների իմացության հնարավոր չէ գնահատել հողերի աղտոտվածության աստիճանը և ռիսկայնությունը:
2022 թվականի մարտից-հուլիս ժամանակահատվածի ընթացքում հողերի աղտոտվածության մոնիթորինգի միջոցառումների շրջանակում իրականացվել է․
Ընդերքօգտագործման հետևանքով դեգրադացված հողերի աղտոտվածության աստիճանի գնահատման նպատակով 3 տեղամասում՝ Տանձուտ, Ֆիոլետովո և Հանքաձոր կատարվել են․ 
• դաշտային հետազոտական աշխատանքներ,
•  հողերի նմուշառում,
•  նմուշառված հողերի լաբորատոր հետազոտություններ, 
• տեղանքի օդալուսանկարահանում, քարտեզագրական աշխատանքներ: 
Անտառային և բնական լանդշաֆտների հողերի աղտոտվածության գնահատման նպատակով Դիլիջան ազգային պարկի, Իջևանի, Սևաքարի, Նոյեմբերյանի, Թումանյանի, Ջիլիզայի, Վանաձորի, Ստեփանավանի, Տաշիրի, Վայոց Ձորի, Սիսիանի, Կապանի, Հրազդանի և Ճամբարակ16 անտառտնտեսությունների տեղամասերում կատարվել է․
• դաշտային հետազոտական աշխատանքներ,
•  հողերի նմուշառում,
•  նմուշառված հողերի լաբորատոր հետազոտություններ։ 
Բնակավայրերում հողերի աղտոտվածության գնահատման նպատակով 10 բնակավայրի՝ Վանաձոր, Ալավերդի, Ախթալա, Աշտարակ, Արարատ, Արտաշատ, Հրազդան, Ջերմուկ, Եղեգնաձոր, Վայք, Իջևան մոտ 50 տեղամասում կատարվել է․
• դաշտային հետազոտական աշխատանքներ,
•  հողերի նմուշառում,
•  նմուշառված հողերի լաբորատոր հետազոտություններ։
Գյուղատնտեսական նշանակության հողերի աղտոտվածության գնահատման նպատակով 20 տեղամասում կատարվել է 
• դաշտային հետազոտական աշխատանքներ,
•  հողերի նմուշառում,
•  նմուշառված հողերի լաբորատոր հետազոտություններ։ Հողերի աղտոտվածության մոնիթորինգն իրականացվում է երկու կարևորագույն պրոցեսների միջոցով, այն է՝ նմուշառում/դաշտային հետազոտություններ և լաբորատոր հետազոտություններ։ 
Հողերի աղտոտվածության ուսումնասիրությունն իրականացվում է դաշտային հետազոտություններ ռենտգեն ֆլուորեսցենտային անալիզատոր սարքով (XRF, Olympus Vanta)՝ զուգահեռաբար համադրելով նաև լաբորատոր պայմաններում ինդուկցիոն-կապված պլազմայով մաս-սպեկտրոմետրիկ անալիզների միջոցով ստացված արդյունքների հետ: Առաջարկվող Ծրագրի նպատակերն են.
• Հողերի աղտոտվածության մոնիթորինգի դիտացանցի ընդլայնում ընդգրկելով տարբեր նշանակության հողերը, դեգրադացված և համապատասխանեցնելով միջազգայնորեն ընդունված չափանիշներին 
• Հողերի աղտոտվածության ցուցանիշների ցանկի ընդլայնում և միջազգային ստանդարտ մեթոդների համաձայն լաբորատոր անալիզների իրկանացում
• Տեխնիկական կարողությունների զարգացում
• Մասնագիտական կարողությունների զարգացում</t>
  </si>
  <si>
    <r>
      <t xml:space="preserve">Նոր նախաձեռնության առնչությունը միջոլորտային(խաչվող) բնույթի քաղաքականության նպատակների հետ՝ </t>
    </r>
    <r>
      <rPr>
        <vertAlign val="superscript"/>
        <sz val="10"/>
        <color theme="1"/>
        <rFont val="GHEA Grapalat"/>
        <family val="3"/>
      </rPr>
      <t>19</t>
    </r>
  </si>
  <si>
    <r>
      <t xml:space="preserve"> </t>
    </r>
    <r>
      <rPr>
        <sz val="10"/>
        <color theme="1"/>
        <rFont val="GHEA Grapalat"/>
        <family val="3"/>
      </rPr>
      <t/>
    </r>
  </si>
  <si>
    <r>
      <t>Տնտեսության իրական հատվածի աջակցության մասով նոր նախաձեռնությունների առնչությունը գործող իրավակարգավորումների հետ</t>
    </r>
    <r>
      <rPr>
        <vertAlign val="superscript"/>
        <sz val="9"/>
        <color theme="1"/>
        <rFont val="GHEA Grapalat"/>
        <family val="3"/>
      </rPr>
      <t>20</t>
    </r>
  </si>
  <si>
    <r>
      <t>6. Նկարագրությունը</t>
    </r>
    <r>
      <rPr>
        <b/>
        <vertAlign val="superscript"/>
        <sz val="10"/>
        <color theme="1"/>
        <rFont val="GHEA Grapalat"/>
        <family val="3"/>
      </rPr>
      <t>21</t>
    </r>
  </si>
  <si>
    <r>
      <t>7. Սպասվող օգուտները</t>
    </r>
    <r>
      <rPr>
        <b/>
        <vertAlign val="superscript"/>
        <sz val="10"/>
        <color theme="1"/>
        <rFont val="GHEA Grapalat"/>
        <family val="3"/>
      </rPr>
      <t>22</t>
    </r>
  </si>
  <si>
    <r>
      <t>8. Նոր նախաձեռնությունը չֆինանսավորելու դեպքում ծագող խնդիրները</t>
    </r>
    <r>
      <rPr>
        <b/>
        <vertAlign val="superscript"/>
        <sz val="10"/>
        <color theme="1"/>
        <rFont val="GHEA Grapalat"/>
        <family val="3"/>
      </rPr>
      <t>23</t>
    </r>
    <r>
      <rPr>
        <b/>
        <sz val="10"/>
        <color theme="1"/>
        <rFont val="GHEA Grapalat"/>
        <family val="3"/>
      </rPr>
      <t xml:space="preserve"> </t>
    </r>
  </si>
  <si>
    <t>Նախաձեռնության չֆինանսավորման դեպքում չեն ապահովվի ՀՀ հողային օրենսգրքով և ենթաօրենսդրական ակտերով սահմանված պարտավորությունների կատարումը։ Կշարունակվի լեռնահանքային արդյունաբերության ազդեցության վերաբերյալ հուսալի մոնիթորինգային տվյալների բացակայությունը, ինչի հետևանքով հնարավոր չի լինի գնահատել հողերի աղտոտվածության իրական վիճակը և իրականացնել նպատակային բնապահպանական վերականգնողական ծրագրեր։
Բացի այդ, չի ապահովվի ՀՀ կառավարության 2021 թվականի նոյեմբերի 18-ի N 1902-Լ որոշմամբ հաստատված՝ ՀՀ կառավարության 2021–2026 թվականների գործունեության միջոցառումների ծրագրի շրջակա միջավայրի բաժնի 10.1 կետի միջոցառման կատարումը։</t>
  </si>
  <si>
    <r>
      <t xml:space="preserve">Արդյունքային չափորոշիչները </t>
    </r>
    <r>
      <rPr>
        <vertAlign val="superscript"/>
        <sz val="10"/>
        <color theme="1"/>
        <rFont val="GHEA Grapalat"/>
        <family val="3"/>
      </rPr>
      <t xml:space="preserve">24 </t>
    </r>
  </si>
  <si>
    <r>
      <t>Միջոցառման ավարտի տարին</t>
    </r>
    <r>
      <rPr>
        <vertAlign val="superscript"/>
        <sz val="9"/>
        <color theme="1"/>
        <rFont val="GHEA Grapalat"/>
        <family val="3"/>
      </rPr>
      <t>25</t>
    </r>
  </si>
  <si>
    <t>Դեգրատացված հողերի ուսումնասիրության թվայնացված քարտեզագրական փաթեթներ, փաթեթ</t>
  </si>
  <si>
    <t>հատ</t>
  </si>
  <si>
    <t>Հողերի աղտոտվածության ուսումնասիրության համար նմուշառման քանակ, հատ</t>
  </si>
  <si>
    <t>Կատարված աշխատանքների վերաբերյալ կիսամյակային     հաշվետվություն, հատ</t>
  </si>
  <si>
    <t>տոկոս</t>
  </si>
  <si>
    <r>
      <t xml:space="preserve">Պահանջվող ռեսուրսները </t>
    </r>
    <r>
      <rPr>
        <vertAlign val="superscript"/>
        <sz val="10"/>
        <color theme="1"/>
        <rFont val="GHEA Grapalat"/>
        <family val="3"/>
      </rPr>
      <t xml:space="preserve">26 </t>
    </r>
  </si>
  <si>
    <t>հազ․դրամ</t>
  </si>
  <si>
    <t>Գործուղման ծախսեր</t>
  </si>
  <si>
    <t>Աշխատանքի վարձատրություն</t>
  </si>
  <si>
    <t>Հատուկ նպատակային նյութեր և սարքավորումներ</t>
  </si>
  <si>
    <t>Տրանսպորտային նյութեր</t>
  </si>
  <si>
    <t>Էներգետիկ ծառայություններ</t>
  </si>
  <si>
    <t>Կոմունալ ծառայություններ</t>
  </si>
  <si>
    <t>Չնախատեսված այլ ծախսեր</t>
  </si>
  <si>
    <r>
      <t xml:space="preserve">Ֆինանսավորման աղբյուրը </t>
    </r>
    <r>
      <rPr>
        <vertAlign val="superscript"/>
        <sz val="10"/>
        <color theme="1"/>
        <rFont val="GHEA Grapalat"/>
        <family val="3"/>
      </rPr>
      <t>27</t>
    </r>
  </si>
  <si>
    <r>
      <t>Այլընտրանք # 2 (նվազագույն արդյունքների սցենար)</t>
    </r>
    <r>
      <rPr>
        <vertAlign val="superscript"/>
        <sz val="10"/>
        <color theme="1"/>
        <rFont val="GHEA Grapalat"/>
        <family val="3"/>
      </rPr>
      <t xml:space="preserve"> 28 </t>
    </r>
  </si>
  <si>
    <t>Միջնաժամկետ ծախսային ծրագրով ներկայացված տվյալներն արդեն իսկ հանդիսանում են նվազագույն արդյունք, քանի որ նախքան մոնիթորինգային հարթակների անհրաժեշտ քանակության վերաբերյալ տեղեկատվությաններ կայացումը կատարվել են մի շարք վերլուծություններ. դիտարկվել և թվայնացվել են ընդերքօգտագործողների կողմից իրականացվող հողերի մոնիթորինգի տեղադիրքերը, ստեղծվել են թվային համադրման քարտեզներ, ուսումնասիրվել է ընդերքօգտագործման արդյունքում խախտված, ներկայումս լքված կամ տիրազուրկ տարածքների աղտոտվածության բնույթը:</t>
  </si>
  <si>
    <r>
      <t>13.Նոր նախաձեռնության իրականացման այլ եղանակներ արտահայտող այլընտրանքներ</t>
    </r>
    <r>
      <rPr>
        <b/>
        <vertAlign val="superscript"/>
        <sz val="10"/>
        <color theme="1"/>
        <rFont val="GHEA Grapalat"/>
        <family val="3"/>
      </rPr>
      <t>29</t>
    </r>
  </si>
  <si>
    <r>
      <t>14. Այլ անհրաժեշտ տեղեկատվություն և հիմնավորումներ</t>
    </r>
    <r>
      <rPr>
        <b/>
        <vertAlign val="superscript"/>
        <sz val="10"/>
        <color theme="1"/>
        <rFont val="GHEA Grapalat"/>
        <family val="3"/>
      </rPr>
      <t>30</t>
    </r>
  </si>
  <si>
    <t xml:space="preserve">Շրջակա միջավայրի նախարարության «Հիդրոօդերևութաբանության և մոնիթորինգի կենտրոն» ՊՈԱԿ-ի կողմից իրականացվում են հողերի աղտոտվածության մոնիթորինգի աշխատանքներ։ 2020 թվականի «ՀՄԿ» ՊՈԱԿ-ի ինստիտուցիոնալ փոփոխությունների արդյունքում ընդլայնվեց հողերի աղտոտվածության մոնիթորինգի ծրագիրը: Ներկայումս հողերի աղտոտվածության մոնիթորինգի հաստատված դիտացանց չկա և նախկինում ևս դիտացանց չի եղել, քանի որ մինչ այժմ հողերի աղռտովածության հետազոտությունները ՀՀ-ում կրել են էպիզոդիկ բնույթ: 2020-2021 թվականների ընթացքում հողերի աղտոտվածության մոնիթորինգն իրականացվել է Լոռի, Վայոց Ձոր, Սյունիք, Արարատ, Արմավիր և Շիրակի մարզերի 118 տեղամասերում, որտեղ որոշվել են թվով 34 տարրերի` հիմնական ծանր մետաղների և տարրերի պարունակությունները: 2022 թվականի մարտից-հուլիս ժամանակահատվածի ընթացքում հողերի աղտոտվածության մոնիթորինգի միջոցառումների շրջանակում իրականացվել է՝ ընդերքօգտագործման հետևանքով դեգրադացված հողերի աղտոտվածության աստիճանի գնահատման նպատակով, անտառային և բնական լանդշաֆտների հողերի աղտոտվածության գնահատման նպատակով, բնակավայրերում հողերի աղտոտվածության գնահատման նպատակով, գյուղատնտեսական նշանակության հողերի աղտոտվածության գնահատման նպատակով։ «ՀՄԿ» ՊՈԱԿ-ը ներկայումս ունի հողերի քիմիական աղտոտվածության ռեժիմային մշտադիտարկումներ իրականացնելու որոշակի գործիքային հնարավորություններ, որի նպատակային, մասնակի համալրումը կապահովի միջազգային չափանիշներին համապատասխան լաբորատոր հզորություններ: </t>
  </si>
  <si>
    <t>15.Կապը Նոր նախաձեռնության ոլորտի ռազմավարության հետ, եթե հաստատված ռազմավարություն առկա է</t>
  </si>
  <si>
    <t xml:space="preserve">Շրջակա միջավայրի նախարարության  Հայհիդրոմետ ՊՈԱԿ					</t>
  </si>
  <si>
    <t>ՀՀ շրջակա  միջավայրի նախարարությունը</t>
  </si>
  <si>
    <t xml:space="preserve">   </t>
  </si>
  <si>
    <t>Շրջակա միջավայրի մոնիթորինգի լաբորատորիայի կարողությունների զարգացում</t>
  </si>
  <si>
    <t xml:space="preserve">Սնդիկի մոնիթորինգը հիմնարար նշանակություն ունի շրջակա միջավայրի պաշտպանության, ՀՀ օրենսդրության պահանջների կատարման և միջազգային պարտավորությունների ապահովման համար։ Տվյալների ստացման և վերլուծության հիման վրա հնարավոր է կանխարգելել աղտոտումը, նվազեցնել ռիսկերը և ներդնել առավել խիստ վերահսկողության մեխանիզմներ՝ առողջության և էկոհամակարգերի պաշտպանության նպատակով։
</t>
  </si>
  <si>
    <r>
      <rPr>
        <u/>
        <sz val="9"/>
        <color theme="1"/>
        <rFont val="GHEA Grapalat"/>
        <family val="3"/>
      </rPr>
      <t>1. ՀՀ օրենսդրություն</t>
    </r>
    <r>
      <rPr>
        <sz val="9"/>
        <color theme="1"/>
        <rFont val="GHEA Grapalat"/>
        <family val="3"/>
      </rPr>
      <t xml:space="preserve">
1․1 Մինամատայի կոնվենցիա սնդիկի վերաբերյալ 
1․2 ՀՀ օրենքը Սնդիկի մասին
1․3 ՀՀ օրենքը Թափոնների մասին 
1.4 Մեծ տարածությունների վրա օդի անդրսահմանային աղտոտման մասին կոնվենցիա
1.5 ՀՀ ջրային օրենսգիրք
1.6 ՀՀ ջրային օրենսգիրք
2</t>
    </r>
    <r>
      <rPr>
        <u/>
        <sz val="9"/>
        <color theme="1"/>
        <rFont val="GHEA Grapalat"/>
        <family val="3"/>
      </rPr>
      <t xml:space="preserve">. ՀՀ կառավարության  որոշումներ </t>
    </r>
    <r>
      <rPr>
        <sz val="9"/>
        <color theme="1"/>
        <rFont val="GHEA Grapalat"/>
        <family val="3"/>
      </rPr>
      <t xml:space="preserve">
2․1 ՀՀ կառավարության 2023 թվականի օգոստոսի 11-ի "Հայաստանի Հանրապետությունից արտահանման և Հայաստանի Հանրապետություն ներմուծման համար արգելված սնդիկի հավելիչով արտադրանքի ցանկը սահմանելու մասին" N 1341-Ն որոշում
2․2 ՀՀ կառավարության 2024 թվականի օգոստոսի 29-ի Հայաստանի Հանրապետությունից սնդիկի արտահանման և Հայաստանի Հանրապետություն սնդիկի ներմուծման կարգերը սահմանելու մասին  N 1380-Ն որոշում
2․3 ՀՀ կառավարության 2025 թվականի փետրվարի 13-ի "Հայաստանի Հանրապետությունից արտահանման և Հայաստանի Հանրապետություն ներմուծման համար արգելված սնդիկի հավելիչով արտադրանքի ցանկը սահմանելու մասին" N 139-Ն որոշում
</t>
    </r>
    <r>
      <rPr>
        <u/>
        <sz val="9"/>
        <color theme="1"/>
        <rFont val="GHEA Grapalat"/>
        <family val="3"/>
      </rPr>
      <t>3. ՀՀ ստանձնած միջազգային պարտավորություններից և արտաքին քաղաքականության գերակայություններից ռազմավարական, մասնավորապես եվրոինտեգրման  նպատակներից.</t>
    </r>
    <r>
      <rPr>
        <sz val="9"/>
        <color theme="1"/>
        <rFont val="GHEA Grapalat"/>
        <family val="3"/>
      </rPr>
      <t xml:space="preserve">
3․1 ՀՀ վարչապետի 2019 թվականի հունիսի 1-ի «Հայաստանի Հանրապետության և Եվրոպական միության և ատոմային էներգիայի եվրոպական համայնքի ու դրանց անդամ պետությունների միջև կնքված համապարփակ և ընդլայնված գործընկերության համաձայնագրի կիրարկման ճանապարհային քարտեզը հաստատելու մասին» N 666-Լ որոշում (Ջրի Շրջանակային դիրեկտիվ 2000/60/ԵՀ) ստորև բերված ենթակետը․
     Ջրային քաղաքականության ոլորտում Համայնքի գործողությունների շրջանակը սահմանող՝ Եվրոպական խորհրդարանի և Խորհրդի 2000 թվականի հոկտեմբերի 23-ի 2000/60/ԵՀ հրահանգ՝ փոփոխություններով․
• Ջրի որակի դիտանցման ծրագրերի ստեղծում (8-րդ հոդված) 
• Գետերի ավազանների տարածքների որոշում և համապատասխան համակարգում՝ ուղղված աշխարհի գետերի, լճերի և առափնյա ջրերի պահպանությանը (3(1)-3(7) հոդված)
</t>
    </r>
  </si>
  <si>
    <t>Շրջակա միջավայրի աղտոտվածության, անդրսահմանային գետերի վիճակի, Սևանա լճի պահպանության և շրջակա միջավայրի այլ հիմնախնդիրների արդյունավետ կառավարման համար անհրաժեշտ են վստահելի, բարձր ճշգրտությամբ և միջազգային չափանիշներին համադրելի տվյալներ։ Նման տվյալների ապահովումը հնարավոր է միայն ժամանակակից սարքավորումներով հագեցած և որակավորված մասնագետներով համալրված լաբորատոր կարողությունների առկայության պայմաններում։
Շրջակա միջավայրի մոնիթորինգի լաբորատորիան պետք է հնարավորություն ընձեռի իրականացնել ոչ միայն ազգային օրենսդրությամբ սահմանված գործառույթները, այլև Հայաստանի Հանրապետության կողմից ԵՄ հրահանգներով և միջազգային բնապահպանական կոնվենցիաներով ստանձնած պարտավորությունները։ Այդ համատեքստում ՇՄՆ «Հիդրոօդերևութաբանության և մոնիթորինգի կենտրոն» ՊՈԱԿ-ի ռազմավարական նպատակն է ձևավորել տարածաշրջանային նշանակության լաբորատոր կենտրոն՝ տեխնիկական կարողությունների զարգացման, միջազգային հավատարմագրման և տարածաշրջանային համագործակցության ընդլայնման միջոցով։ Սույն բյուջետային հայտը միտված է այդ նպատակի իրականացման համար անհրաժեշտ նախադրյալների ստեղծմանը։
2020–2023 թվականներին ՇՄՆ «Հիդրոօդերևութաբանության և մոնիթորինգի կենտրոն» ՊՈԱԿ-ի լաբորատորիան պետական և ԵՄ ծրագրերի ֆինանսավորմամբ զգալիորեն արդիականացվել է և համապատասխանեցվել միջազգային պահանջներին, ինչի արդյունքում ձևավորվել են բավարար հիմքեր լաբորատորիայի հավատարմագրման համար։
2024 թվականի հուլիսի 15-ին ՊՈԱԿ-ի փորձարկման լաբորատորիան հավատարմագրվել է ԳՕՍՏ ԻՍՕ/ԻԷԿ 17025-2019 միջազգային ստանդարտի պահանջներին համապատասխան՝ «Հավատարմագրման ազգային մարմին» ՊՈԱԿ-ի (ԱՐՄՆԱԲ) կողմից՝ 4 տարի ժամկետով։ Հավատարմագրման ոլորտը ներառում է մակերևութային և ստորերկրյա ջրերի, հողերի և հատակային նստվածքների մի շարք ֆիզիկաքիմիական փորձարկումներ։
Առաջիկա տարիներին նախատեսվում է ընդլայնել լաբորատորիայի հավատարմագրման ոլորտը՝ ներառելով ջրերում և հողերում օրգանական միացությունների, սնդիկի և կենսաբանական ցուցանիշների փորձարկումներ, ինչպես նաև մթնոլորտային օդի աղտոտվածության մոնիթորինգ։
Սակայն հավատարմագրման պահպանումը և ոլորտի ընդլայնումը ներկայումս բախվում են մի շարք հրատապ մարտահրավերների՝ պայմանավորված սարքավորումների մաշվածությամբ, կադրային ռիսկերով և սպասարկման ֆինանսավորման սահմանափակումներով։ Առավել օրհասական խնդիր է 2003 թվականին ձեռք բերված ICP-MS սարքավորման խափանումը, որի փոխարինումը կենսական նշանակություն ունի պետական մոնիթորինգի ծրագրերի շարունակական իրականացման և հավատարմագրման պահպանման համար։
ՇՄՆ «Հիդրոօդերևութաբանության և մոնիթորինգի կենտրոն» ՊՈԱԿ-ի լաբորատորիայի փորձարկման կարողությունների զարգացումը և հավատարմագրման ոլորտի ընդլայնումը հնարավորություն կտան աստիճանաբար բավարարել ՀՀ, ԵՄ և միջազգային պարտավորությունները և ապահովել հավատարմագրում ԵՄ հավատարմագրման մարմինների կողմից։
Այդ նպատակով նախատեսվում է՝
•	ձեռք բերել նոր սերնդի ինդուկցիոն կապված պլազմայով մաս-սպեկտրաչափ (ICP-MS), գազային և հեղուկային քրոմատոգրաֆիկ համակարգեր (HS-GC-MS, GC-MS/MS, LC-MS/MS) և ներդնել օրգանական աղտոտիչների (POPs, VOCs, պեստիցիդներ, ածխաջրածիններ) փորձարկումները ջրերում և հողում,
•	ձեռք բերել ընդհանուր օրգանական ածխածնի և ընդհանուր ազոտի (TOC/TN) անալիզատորներ,
•	ապահովել լաբորատորիայի մասնակցությունը միջլաբորատոր համեմատական փորձարկումներին (proficiency testing)։</t>
  </si>
  <si>
    <t xml:space="preserve">2027թ. </t>
  </si>
  <si>
    <t>2029թ․</t>
  </si>
  <si>
    <t>ձեռք բերված և շահագործման հանձնված ժամանակակից լաբորատոր սարքավորումների քանակ (ICP-MS, քրոմատոգրաֆներ, անալիզատորներ)</t>
  </si>
  <si>
    <t>լաբորատորիայի ISO/IEC 17025:2019 հավատարմագրման կարգավիճակի պահպանում և հավատարմագրման ոլորտի ընդլայնում (նոր փորձարկումների և ցուցանիշների քանակ),</t>
  </si>
  <si>
    <t xml:space="preserve">  </t>
  </si>
  <si>
    <t>հազ․դր</t>
  </si>
  <si>
    <t>Ինդուկցիոն կապված պլազմայով մաս-սպեկտրաչափ սարքավորման ձեռքբերում</t>
  </si>
  <si>
    <t>Ընդհանուր օրգ. ածխածնի/ ընդհանուր ազոտի անալիզատոր 
TOC/TNb սարքի ձեռքբերում, մակերևութային և ստորերկրյա ջրեր</t>
  </si>
  <si>
    <t>Ընդհանուր օրգ. ածխածնի/ ընդհանուր ազոտի անալիզատոր 
TOC/TNb սարքի ձեռքբերում, հողեր և հատակային նստվածքներ</t>
  </si>
  <si>
    <t>Գազային քրոմատոգրաֆ մաս-սպեկտրաչափի ձեռքբերում
HS-GC-MS</t>
  </si>
  <si>
    <t>Աշխատանքի վարձատրություն, ներառյալ նոր հաստիքների տրամադրում</t>
  </si>
  <si>
    <t>Սարքերի պահեստամասեր և օժանդակ միջոցներ</t>
  </si>
  <si>
    <r>
      <t>Ձևաչափ N 2. Նոր նախաձեռնությունների ներկայացման ձևաչափ</t>
    </r>
    <r>
      <rPr>
        <vertAlign val="superscript"/>
        <sz val="9"/>
        <color theme="1"/>
        <rFont val="GHEA Grapalat"/>
        <family val="3"/>
      </rPr>
      <t>2</t>
    </r>
  </si>
  <si>
    <t>.</t>
  </si>
  <si>
    <t>«Ձյան և ձնահյուսերի մոնիթորինգի նոր համակարգի ստեղծում»</t>
  </si>
  <si>
    <r>
      <t>Պետական մարմնի անվանումը</t>
    </r>
    <r>
      <rPr>
        <vertAlign val="superscript"/>
        <sz val="10"/>
        <color theme="1"/>
        <rFont val="GHEA Grapalat"/>
        <family val="3"/>
      </rPr>
      <t/>
    </r>
  </si>
  <si>
    <r>
      <t xml:space="preserve">ՀՀշրջակա  միջավայրի նախարարություն
</t>
    </r>
    <r>
      <rPr>
        <sz val="9"/>
        <color theme="1"/>
        <rFont val="GHEA Grapalat"/>
        <family val="3"/>
      </rPr>
      <t>«Հիդրոօդերևութաբանության և մոնիթորինգի կենտրոն» ՊՈԱԿ</t>
    </r>
  </si>
  <si>
    <t xml:space="preserve">Ծրագրի անվանումը՝ </t>
  </si>
  <si>
    <t xml:space="preserve">Ծրագրի դասիչը՝ </t>
  </si>
  <si>
    <t>Ծրագրի/ միջոցառման նախատեսվող ավարտը</t>
  </si>
  <si>
    <t xml:space="preserve">Ձյան և ձնահյուսերի մոնիթորինգի նոր համակարգի ստեղծում
</t>
  </si>
  <si>
    <t xml:space="preserve">Միջոցառման դասիչը  </t>
  </si>
  <si>
    <t>Միջոցառման (պետության միջամտության) տեսակը՝</t>
  </si>
  <si>
    <t>Նոր նախաձեռնության բնույթը</t>
  </si>
  <si>
    <t>Ծախսային պարտավորության բնույթը</t>
  </si>
  <si>
    <t>Պարտադիր կամ հայեցողական  պարտավորությունների շրջանակը</t>
  </si>
  <si>
    <t>Պարտադիր պարտավորության շրջանակներում գործադիր մարմնի հայեցողական իրավասությունների շրջանակները</t>
  </si>
  <si>
    <t>Պարտադիր կամ հայեցողական պարտավորությունը սահմանող օրենսդրական հիմքերը</t>
  </si>
  <si>
    <t>ՀՀ պետական կառավարման մարմիններին և տեղական ինքնակառավարման մարմիններին, ազգաբնակչությանը, տնտեսության տարբեր ճյուղեր</t>
  </si>
  <si>
    <t>Նպատակը</t>
  </si>
  <si>
    <t xml:space="preserve">   Ծրագրի նպատակն է Հայաստանի տարածքում ձնաչափական մոնիթորինգի վերականգնումը, ձյան մոնիթորինգի ընդլայնումն ու բարելավումը, պարբերական արդիականացումը և ձնահյուսերի մոնիթորինգի և վտանգի կանխատեսման գնահատման համակարգի ստեղծումը։ 
Ծրագրի հիմքում դրված է «Հիդրոօդերևութաբանության և մոնիթորինգի կենտրոն» ՊՈԱԿ-ի կանոնադրական գլխավոր խնդիրը՝ պետական կառավարման մարմիններին, ազգաբնակչությանը, տնտեսության տարբեր ճյուղերին ջրային ռեսուրսների, գարնանային վարարումների հոսքի ծավալների, սակավաջրության, հիդրոօդերևութաբանական վտանգավոր երևույթների, մասնավորապես հեղեղումների և ձնահյուսերի վերաբերյալ ժամանակին և հուսալի տվյալներով և տեղեկատվությամբ ապահովումը։ Ձյան և ձնահյուսերի մոնիթորինգի համակարգի ներդրումը անհրաժեշտ է ջրային ռեսուրսների կայուն կառավարման, վաղ նախազգուշացման համակարգերի ներդրմամբ հեղեղումների և սակավաջրության ռիսկերի կանխարգելման, գյուղատնտեսական արտադրության կայունության ապահովման համար, ինչպես նաև այն կարևոր միջոցառում է կլիմայի փոփոխության հարմարվողականության և էկոհամակարգերի պահպանության համար։
</t>
  </si>
  <si>
    <t xml:space="preserve">Նոր նախաձեռնության առնչությունը միջոլորտային(խաչվող) բնույթի քաղաքականության նպատակների հետ՝ </t>
  </si>
  <si>
    <t>Տնտեսության իրական հատվածի աջակցության մասով նոր նախաձեռնությունների առնչությունը գործող իրավակարգավորումների հետ</t>
  </si>
  <si>
    <r>
      <t>6. Նկարագրությունը</t>
    </r>
    <r>
      <rPr>
        <b/>
        <vertAlign val="superscript"/>
        <sz val="9"/>
        <color theme="1"/>
        <rFont val="GHEA Grapalat"/>
        <family val="3"/>
      </rPr>
      <t>21</t>
    </r>
  </si>
  <si>
    <t>Ներդնել ձյան և ձնահյուսերի մոնիթորինգի միասնական համակարգ, որն իր մեջ պետք է ներառի ձյան մոնիթորինգի համակարգի ընդլայնում և նոր ավտոմատ օդերևութաբանական կայանների ներդնում երկրի լեռնային բարձրադիր գոտիներում, երթուղային ձնաչափության իրականացում առավել կարևոր տնտեսական նշանակություն ունեցող գետավազաններում, հեռազննման տեխնոլոգիաների կիրառում (ԱԹՍ), համակցություն արբանյակային տեղեկատվության հետ։ Ստացված տեղեկատվության մշակման, վիզուալիզացիայի համար համապատասխան ծրագրային փաթեթների ներդնում, և կանխատեսման մոդելների ներդնում և տեղայնացում, համապատասխան դասընթացների կազմակերպմամաբ։ Տվյալների ինտեգրում «Հայհիդրոմետ» ՊՈԱԿ-ի տվյալների փոխանցման միասնական համակարգին։ Ներկայացվող ծրագիրը հնարավորություն կտա գնահատել ձնածածկվածությունը տարածական կտրվածքով, գնահատել ձյան մեջ եղած ջրի պաշարը, իրականացնել առավել բարձր ճշգրտությամբ հիդրոլոգիական կանխատեսումներ գարնանային վարարումների հոսքի ծավալների, առավելագույն ելքերի, ջրամբարների ջրալցվածության, սակավաջրության վերաբերյալ, միևնույն ժամանակ կանխատեսման բաղադրիչի ներառումը հնարավորություն կտա ավելի բարձր ճշգրտությամբ գնահատել հեղեղումների հավանականությունը, ձնահյուսերի ձևավորման ռիսկը և վաղ նախազգուշացման միջոցով ապահովել հիդրոօդերևութաբանական անբարենպաստ պայմաններից բնակչության և տնտեսության պաշտպանությունը։</t>
  </si>
  <si>
    <r>
      <t>7. Սպասվող օգուտները</t>
    </r>
    <r>
      <rPr>
        <b/>
        <vertAlign val="superscript"/>
        <sz val="9"/>
        <color theme="1"/>
        <rFont val="GHEA Grapalat"/>
        <family val="3"/>
      </rPr>
      <t>22</t>
    </r>
  </si>
  <si>
    <r>
      <t>8. Նոր նախաձեռնությունը չֆինանսավորելու դեպքում ծագող խնդիրները</t>
    </r>
    <r>
      <rPr>
        <b/>
        <vertAlign val="superscript"/>
        <sz val="9"/>
        <color theme="1"/>
        <rFont val="GHEA Grapalat"/>
        <family val="3"/>
      </rPr>
      <t>23</t>
    </r>
    <r>
      <rPr>
        <b/>
        <sz val="9"/>
        <color theme="1"/>
        <rFont val="GHEA Grapalat"/>
        <family val="3"/>
      </rPr>
      <t xml:space="preserve"> </t>
    </r>
  </si>
  <si>
    <t xml:space="preserve"> Ծրագրի չիրագործումը կհանգեցնի ձյան և ձնահյուսերի վերաբերյալ անբավարար տեղեկատվության, ինչը հանգեցնում է ձյան պաշարների վերաբերյալ ոչ լիրաժեք պատկերացումների և գնահատականների, որի հետևանքով թերա կամ գերագնահատվում են ձևավորվող ջրային ռեսուրսները, հնարավոր չի լինում ճշգրիտ գնահատել սակավաջրության հավանականությունը, բացակայում է տեղեկատվության ստացումը ձնահյուսերի վերաբերյալ, ինչով պայմանավորված հնարավոր չէ իրականացնել ճշգրիտ հիդրոկլիմայական կանխատեսումներ և կազմել վաղ նախազգուշացումներ սպասվող հիդրոօդերևութաբանական վտանգավոր երևույթների վերաբերյալ և ապահովել բարձրորակ հիդրոկլիմայական սպասարկում տնտեսության տարբեր ոլորտներին։</t>
  </si>
  <si>
    <t xml:space="preserve">Արդյունքային չափորոշիչները </t>
  </si>
  <si>
    <t xml:space="preserve">Պահանջվող ռեսուրսները </t>
  </si>
  <si>
    <t>հազ․ դրամ</t>
  </si>
  <si>
    <t>Կապիտալ ծախսեր 1016 32003 միջոցառման միջոցով</t>
  </si>
  <si>
    <t>Ձյան խտության որոշման կշեռք</t>
  </si>
  <si>
    <t>Ձնաչափական չափաձող</t>
  </si>
  <si>
    <t>Ձյունագնաց</t>
  </si>
  <si>
    <t>Ձյունագնացի քարշակ</t>
  </si>
  <si>
    <t xml:space="preserve">Բեռնամարդատար ամենագնաց ավտոմեքենա </t>
  </si>
  <si>
    <t>Անօդաչու թռչող սարք</t>
  </si>
  <si>
    <t>Կապի միջոցներ (ռացիա)</t>
  </si>
  <si>
    <t>GPS</t>
  </si>
  <si>
    <t>Ձյան մոնիթորինգի ավտոմատ կայանների տեղադրում</t>
  </si>
  <si>
    <t>Լույսային ազդանշան արձակող սարք</t>
  </si>
  <si>
    <t xml:space="preserve">Ձյան հեռահար մոնիթորինգի համակարգի ձեռք բերում տեղայնացում ուսուցում  </t>
  </si>
  <si>
    <t>Ձնահյուսային վտանգավորության կանխատեսման համակարգի ներդնում, եղանակի կանխատեսման մոդելի հիման վրա, և ձյան մեջ ջրի պաշարի մոդել</t>
  </si>
  <si>
    <t>Ձնահյուսերի վերաբերյալ տվյալների ինտեգրում միասնական համակարգ, տվյալների բազաի տեսքով, ընթացքիկ իրավիճակ, ձնահյուսերի վտանգավորության ֆոնային կանխատեսման քարտեզներ</t>
  </si>
  <si>
    <t>Ավտոմատ կայանների շուրջ մետաղյա ցանկապատի տեղադրում</t>
  </si>
  <si>
    <t xml:space="preserve">Ընթացիկ ծախսեր 1016 11004 </t>
  </si>
  <si>
    <t>Դաշտային աշխատանքներ /գործուղումներ/</t>
  </si>
  <si>
    <t>Միջազգային փորձագետի այցելություն</t>
  </si>
  <si>
    <t>Ձնաչափական երթուղիների ուսումնասիրություն և քարտեզագրում</t>
  </si>
  <si>
    <t>Ձնաչափական տվյալների հավաքագրում, վերլուծություն, գնահատում, և տվյալների բազայի ստեղծում</t>
  </si>
  <si>
    <t>Արշավախմբի համար արտահագուստի ձեռքբերում</t>
  </si>
  <si>
    <t>Ձնահյուսերի վերաբերյալ առկա տվյալների վերլուծութուն, տվյալների բացերի լրացում արբանյակային տվյալների կիրառմամբ և համապատասխան մեթոդաբանությամբ</t>
  </si>
  <si>
    <t>Ավտոմատ կայանների տեխնիկական սպասարկում</t>
  </si>
  <si>
    <t>Ավտոմատ կայանների պահեստային տվիչնեի ձեռք բերում</t>
  </si>
  <si>
    <t xml:space="preserve">Ֆինանսավորման աղբյուրը </t>
  </si>
  <si>
    <t xml:space="preserve"> հազ․դրամ</t>
  </si>
  <si>
    <r>
      <t>Այլընտրանք # 2 (նվազագույն արդյունքների սցենար)</t>
    </r>
    <r>
      <rPr>
        <vertAlign val="superscript"/>
        <sz val="9"/>
        <color theme="1"/>
        <rFont val="GHEA Grapalat"/>
        <family val="3"/>
      </rPr>
      <t xml:space="preserve"> </t>
    </r>
  </si>
  <si>
    <r>
      <t>13.Նոր նախաձեռնության իրականացման այլ եղանակներ արտահայտող այլընտրանքներ</t>
    </r>
    <r>
      <rPr>
        <b/>
        <vertAlign val="superscript"/>
        <sz val="9"/>
        <color theme="1"/>
        <rFont val="GHEA Grapalat"/>
        <family val="3"/>
      </rPr>
      <t>29</t>
    </r>
  </si>
  <si>
    <r>
      <t>14. Այլ անհրաժեշտ տեղեկատվություն և հիմնավորումներ</t>
    </r>
    <r>
      <rPr>
        <b/>
        <vertAlign val="superscript"/>
        <sz val="9"/>
        <color theme="1"/>
        <rFont val="GHEA Grapalat"/>
        <family val="3"/>
      </rPr>
      <t>30</t>
    </r>
  </si>
  <si>
    <t>ՀՀ գետերի գարնանային վարարումների հոսքի ծավալները կանխատեսելու և հաշվարկելու համար նախկինում ամեն տարի մարտի 5-ից 15-ը ընկած ժամանակահատվածում գետավազաններում կիրառվել է երթուղային ձնաչափական մեթոդը։ Ամենաշատ երթուղիներով ձնաչափություն կատարվել է 1960-1990թթ. ժամանակահատվածում, իսկ սկսած 1990 թվականից երթուղային ձնաչափությունը կտրուկ նվազել է, իսկ 1996 թվականից ֆինանսների բացակայության պատճառով դադարեցվել է: 
Երթուղային ձնաչափությունը կատարվել է այն գետավազաններում, որոնք ունեն ջրատնտեսական կարևոր նշանակություն։ Բացի երթուղային ձնաչափությունը 1956 թվականից մինչև 1980-ական թվականները գլխավոր գետային ավազաններում տարին մեկ անգամ գարնանային վարարումների հոսքի ծավալների կանխատեսման նպատակով իրականացվել են ավիաձնաչափական՝ ակնադիտական, ավիանկարահանման և վայրէջքային եղանակներով ձնաչափական դիտարկումներ։ 
Հայաստանում ձնահյուսերի դիտարկմամբ և ուսումնասիրմամբ զբաղվել է Հայհիդրոմետը։ Ձնահյուսերի դիտարկումները կատարվել են արշավախմբային և ավիահետախուզական մեթոդներով և ընդգրկել են 1948-1988 թթ։ Եղած տվյալների հիման վրա առկա է ընդհանուր պատկեր և տեղեկատվություն ձնահյուսերի ձևավորման գոտիների, դրանց հաճախականության, ծագումնաբանության վերաբերյալ։</t>
  </si>
  <si>
    <t>ՑԱՆԿ</t>
  </si>
  <si>
    <t>Ձյան և ձնահյուսերի մոնիթորինգի իրականացման համար անհրաժեշտ  միջոցների</t>
  </si>
  <si>
    <t>Ընդամենը պահանջվող  քանակը և   գումարը 
(հազար դրամ)*</t>
  </si>
  <si>
    <t>2027թ․</t>
  </si>
  <si>
    <t>2028թ․</t>
  </si>
  <si>
    <t>Ընդամենը
2027-2029թթ․</t>
  </si>
  <si>
    <t>№</t>
  </si>
  <si>
    <t>Անվանումը</t>
  </si>
  <si>
    <t>Միավորի նախահաշվային գինը 
(հազար դրամ)</t>
  </si>
  <si>
    <t>Քանակը</t>
  </si>
  <si>
    <t>Գումարը</t>
  </si>
  <si>
    <t>Հղումներ</t>
  </si>
  <si>
    <t>հավաքածու</t>
  </si>
  <si>
    <t>https://gidrometpribors.ru/catalog/prochee-oborudovanie/vs-43-snegomer-vesovoy/</t>
  </si>
  <si>
    <t>https://gidrometpribors.ru/catalog/reyki-mernye/rg-gmp-m-103-reyka-snegomernaya/</t>
  </si>
  <si>
    <t>http://www.vitesse.am/</t>
  </si>
  <si>
    <t>https://garmin.am/</t>
  </si>
  <si>
    <t xml:space="preserve">"Միկրոստեպ ՄԻՍ" ՍՊԸ </t>
  </si>
  <si>
    <t>https://jin.am/info/contacts/</t>
  </si>
  <si>
    <t>Դաշտային աշխատանքներ</t>
  </si>
  <si>
    <t>անգամ</t>
  </si>
  <si>
    <t xml:space="preserve"> ԸՆԴԱՄԵՆԸ</t>
  </si>
  <si>
    <t xml:space="preserve">  Մակերևութային ջրերի քանակական մոնիթորինգի հիդրոլոգիական դիտակետերի արդիականացում</t>
  </si>
  <si>
    <t xml:space="preserve">ՀՀ Շրջակա միջավայրի նախարարություն
«Հիդրոօդերևութաբանության և մոնիթորինգի կենտրոն» ՊՈԱԿ
</t>
  </si>
  <si>
    <t xml:space="preserve"> Տարածքային կառավարման և ենթակառուցվածքների, Էկոնոմիկայի, Ներքին գործերի նախարարություններ,</t>
  </si>
  <si>
    <t xml:space="preserve">Հիդրոլոգիական դիտակետերի արդիականացումը նպաստելու է ջրային ռեսուրսների արդյունավետ կառավարմանը, դրանով իսկ մեղմելով սակավ մակերևութային ջրային ռեսուրսների բացասական ազդեցությունը տնտեսության տարբեր ոլորտների մասնավորապես գյուղատնտեսության վրա։          </t>
  </si>
  <si>
    <t>2026թ</t>
  </si>
  <si>
    <t>2028թ․ և շարունակական</t>
  </si>
  <si>
    <r>
      <t>Միջոցառման (պետության միջամտության) տեսակը՝</t>
    </r>
    <r>
      <rPr>
        <vertAlign val="superscript"/>
        <sz val="9"/>
        <color theme="1"/>
        <rFont val="GHEA Grapalat"/>
        <family val="3"/>
      </rPr>
      <t xml:space="preserve">12 </t>
    </r>
  </si>
  <si>
    <t>պետական կառավարման մարմիններին, ազգաբնակչությանը, տնտեսության տարբեր ճյուղերին մակերևութային ջրային ռեսուրսների փաստացի վիճակի և դրանց սպասվող փոփոխությունների մասին տեղեկատվությամբ ապահովում` հիդրոօդերևութաբանական անբարենպաստ պայմաններից բնակչության և տնտեսության պաշտպանություն</t>
  </si>
  <si>
    <t>Հայաստանի Հանրապետության կառավարության 2021-2026 թվականների գործունեության միջոցառումների ծրագիրը հաստատելու մասին» №1902-Լ որոշմամբ հաստատված հավելված 1-ի «Շրջակա միջավայրի նախարարություն» բաժնի 14-րդ կետի 1-ին ենթակետի 2-րդ և 3-րդ մասերի կատարմանը, ինչպես նաև Հայաստանի Հանրապետության կառավարության 2022 թվականի նոյեմբերի 3-ի №1692-Լ որոշման հավելվածի 8-րդ գլխի 3-րդ կետով սահմանված միջոցառման կատարում</t>
  </si>
  <si>
    <t>Հիդրոօդերևութաբանական գործունեության մասին ՀՀ օրենք, Հայաստանի Հանրապետության կառավարության 2021-2026 թվականների գործունեության միջոցառումների ծրագիրը հաստատելու մասին» №1902-Լ որոշում</t>
  </si>
  <si>
    <t xml:space="preserve">     Մակերևութային ջրերի քանակական մոնիթորինգի հիդրոլոգիական դիտակետերից ստացվող տեղեկատվության, գրանցված տվյալների ավտոմատ վերլուծության գործող համակարգի կատարելագործում, առավել հաճախականացված և ճշգրիտ տվյալների ստացում, կարճաժամկետ և երկարաժամկետ կանխատեսման համակարգի կատարելագործում։ Օդերևութաբանական, կլիմայական և հիդրոլոգիական արժանահավատ տվյալների հիման վրա սակավաջրության վաղօրոք գնահատման, հեղեղումների վաղ նախազգուշացման հնարավորության ստեղծում։Անհրաժեշտ է հիդրոլոգիական ժամանակակից մոդելների տեղայնացում և ներդնում, որի արդյունքում կբարելավվեն կարճաժամկետ և երկարաժամկետ հիդրոլոգիական կանխատեսումները։ </t>
  </si>
  <si>
    <r>
      <t xml:space="preserve">Նոր նախաձեռնության առնչությունը միջոլորտային(խաչվող) բնույթի քաղաքականության նպատակների հետ՝ </t>
    </r>
    <r>
      <rPr>
        <vertAlign val="superscript"/>
        <sz val="9"/>
        <color theme="1"/>
        <rFont val="GHEA Grapalat"/>
        <family val="3"/>
      </rPr>
      <t>19</t>
    </r>
  </si>
  <si>
    <t xml:space="preserve">   Մակերևութային ջրերի քանակական մոնիթորինգի դիտացանցի ամբողջական արդիականացում՝ ավտոմատ հիդրոլոգիական կայանների տեղադրում։
Հիդրոօդերևութաբանական երևույթների և պրոցեսների դիտարկումների իրականացում, ջրային ռեսուրսների հիդրոլոգական ռեժիմի ներկա և ապագա վիճակի վերաբերյալ պետական կառավարման մարմիններին, ազգաբնակչությանը, տնտեսության տարբեր ճյուղերին մակերևութային ջրային ռեսուրսների փաստացի վիճակի և դրանց սպասվող փոփոխությունների մասին տեղեկատվությամբ ապահովում` հիդրոօդերևութաբանական անբարենպաստ պայմաններից բնակչության և տնտեսության պաշտպանություն։
</t>
  </si>
  <si>
    <t>8. Նոր նախաձեռնությունը չֆինանսավորելու դեպքում ծագող խնդիրները</t>
  </si>
  <si>
    <t>Մակերևութային ջրային ռեսուրսների տարածա-ժամանակային բաշխվածության վերաբերյալ անբավարար տվյալների պարագայում խնդիրներ են առաջանալու դրանց արդյունավետ կառավարման, հեղեղումների վերաբերյալ կանխատեսումների կազմման և նախազգուշացման տրամադրման, ինչպես նաև տնտեսության տարբեր ոլորտներին ջրային ռեսուրսների վերաբերյալ անհրաժեշտ տեղեկատվության ապահովման տեսանկյունից, հատկապես գյուղատնտեսությանը։</t>
  </si>
  <si>
    <t>2026թ.</t>
  </si>
  <si>
    <t xml:space="preserve">Հիդրոլոգիական դիտակետերի արդիականացման մակարդակ </t>
  </si>
  <si>
    <t>2028 և շարունակական</t>
  </si>
  <si>
    <t>Ստացված տվյալների ճշգրտության բարձրացում</t>
  </si>
  <si>
    <t xml:space="preserve">Տվյալների ավտոմատ հավաքագրման աճ </t>
  </si>
  <si>
    <t>Տեսանկարահանող սարքերի տեղադրման քանակ</t>
  </si>
  <si>
    <t>Ջրի մակարդակաչափերի, հոսքաչափերի և պտուտանների քանակ</t>
  </si>
  <si>
    <t>Հեղեղումների և սակավաջրության կանխատեսման վաղօրոքության բարձրացում</t>
  </si>
  <si>
    <t>Կառավարության և հանրության տեղեկացվածության մակարդակի աճ (%)</t>
  </si>
  <si>
    <t>Ներդրված հիդրոլոգիական մոդելների քանակ</t>
  </si>
  <si>
    <t>Ստեղծված լաբորատորիաների քանակ</t>
  </si>
  <si>
    <t>Հազ․ դրամ</t>
  </si>
  <si>
    <t>Հիմնական միջոցներ  այդ թվում</t>
  </si>
  <si>
    <t>Ջրի ռադարային մակարդակաչափ (ջրի և օդի ջերմաստիճանի տվիչներով)</t>
  </si>
  <si>
    <t>Ջրաչափական պտուտանի կոմպլեկտ</t>
  </si>
  <si>
    <t>Տեսանկարահանող սարքեր</t>
  </si>
  <si>
    <t>Ավտոմատ  հոսքաչափեր</t>
  </si>
  <si>
    <t>Ջրաչափական պտուտանների ստուգաճշտման լաբորատորիա</t>
  </si>
  <si>
    <t>Հիդրոլոգիական դիտակետերում հիդրոմետրիական կառուցվածքների կառուցում</t>
  </si>
  <si>
    <t>Հիդրոլոգիական դիտակետերի արդիականացման նախագծային փաստաթղթերի պատրաստում և շինհրապարակի վերահսկողություն</t>
  </si>
  <si>
    <t>Շինարարական թույլտվության ստացման ծախսեր</t>
  </si>
  <si>
    <t>Ամենագնաց ավտոմեքենա (ՎԱԶ 2121)</t>
  </si>
  <si>
    <t>Հիդրոլոգիական մոդելների (այդ թվում հեղեղումների  կանխատեսման մոդելների) ձեռք բերում, ներդնում, տեղայնացում, ուսուցում</t>
  </si>
  <si>
    <t xml:space="preserve">Ընդամենը  </t>
  </si>
  <si>
    <t>Նոր նախաձեռնության գծով ընդհանուր ծախսեր, ՀՀ պետական բյուջե, օրենքով չարգելված այլ աղբյուրներ՝ այդ թվում՝</t>
  </si>
  <si>
    <t>ՀՀ պետական բյուջե, օրենքով չարգելված այլ աղբյուրներ</t>
  </si>
  <si>
    <t>Նոր նախաձեռնությունների  հնարավոր ազդեցությունը պետական բյուջեի վրա</t>
  </si>
  <si>
    <t xml:space="preserve">   Ծրագրի իրագործումը թույլ կտա բարելավել  գործունեության հիմնական ուղղություններով  գործող պարտավորությունների կատարումը և ընդհանուր առմամբ կնպաստի Հայաստանի Հանրապետության հիդրոօդերևութաբանական անվտանգության բարձրացմանը: </t>
  </si>
  <si>
    <t xml:space="preserve"> Հիդրոլոգիական դիտակետերի արդիականացման   ժամանակացույցով նախատեսվել է  2027թվականին  արդիականացնել 20  դիտակետ;2028 թվականին արդիականացնել  17 դիտակետ, իսկ2029 թվականին՝ 22 դիտակետ </t>
  </si>
  <si>
    <t xml:space="preserve">Մակերևութային ջրերի քանակական մոնիթորինգի հիդրոլոգիական դիտակետերի արդիականացման կապիտալ ծախսեր </t>
  </si>
  <si>
    <t>Ընդամենը 2027-2029թ․թ․</t>
  </si>
  <si>
    <t>ջրի ռադարային մակարդակաչափ (ջրի և օդի ջերմաստիճանի տվիչներով)</t>
  </si>
  <si>
    <t>https://documents1.worldbank.org/curated/en/263211548429475922/pdf/134019-Armenian-Modernizing-Weather-Climate-and-Hydrological-Services-Final.pdf</t>
  </si>
  <si>
    <t>ջրաչափական պտուտանի կոմպլեկտ</t>
  </si>
  <si>
    <t>ջրաչափական պտուտանների ստուգաճշտման լաբորատորիա</t>
  </si>
  <si>
    <t>հիդրոլոգիական դիտակետերի արդիականացման նախագծային փաստաթղթերի պատրաստում և շինհրապարակի վերահսկողություն</t>
  </si>
  <si>
    <t>շինարարական թույլտվության ստացման ծախսեր</t>
  </si>
  <si>
    <t>ամենագնաց ավտոմեքենա (ՎԱԶ 2121)</t>
  </si>
  <si>
    <t>մոտավոր գնահատականը վերցված է "Modernizing Weather, Climate and Hydrological Services: A Road Map for Armenia" WB հաշվետվությունից</t>
  </si>
  <si>
    <r>
      <t>*</t>
    </r>
    <r>
      <rPr>
        <b/>
        <sz val="9"/>
        <rFont val="GHEA Grapalat"/>
        <family val="3"/>
      </rPr>
      <t xml:space="preserve">Գումարները ներառում են տեղափոխման և տեղադրման համար պահանջվող ծախսերը  </t>
    </r>
  </si>
  <si>
    <t>ՋԳ գույքագրումը և համապատասխան հարթակի ստեղծումն ու շահագործումը հիմնարար նշանակություն ունի մթնոլորտային օդի պահպնության, արտանետումների կառավարման, կլիմայի փոփոխության վերաբերյալ ՀՀ օրենսդրության պահանջների կատարման և միջազգային պարտավորությունների, մասնավորապպես Փարիզյան համաձայնագրի ապահովման համար։</t>
  </si>
  <si>
    <t>ՀՀ կառավարության 2024թ․ հունվար 11-ի №54-Ն որոշմամբ Ջերմոցային գազերի արտանետումների գույքագրման պետական լիազոր մարմին է ճանաչվել Շրջակա միջավայրի նախարարությունը</t>
  </si>
  <si>
    <r>
      <rPr>
        <u/>
        <sz val="9"/>
        <color theme="1"/>
        <rFont val="GHEA Grapalat"/>
        <family val="3"/>
      </rPr>
      <t>1. ՀՀ օրենսդրություն</t>
    </r>
    <r>
      <rPr>
        <sz val="9"/>
        <color theme="1"/>
        <rFont val="GHEA Grapalat"/>
        <family val="3"/>
      </rPr>
      <t xml:space="preserve">
1․1  ՀՀ մթնոլորտային օդի պահպանության մասին օրենք
1․2  «Կլիմայի փոփոխության մասին» շրջանակային կոնվենցիա
1․3 Փարիզյան համաձայնագիր
2</t>
    </r>
    <r>
      <rPr>
        <u/>
        <sz val="9"/>
        <color theme="1"/>
        <rFont val="GHEA Grapalat"/>
        <family val="3"/>
      </rPr>
      <t xml:space="preserve">. ՀՀ կառավարության  որոշումներ </t>
    </r>
    <r>
      <rPr>
        <sz val="9"/>
        <color theme="1"/>
        <rFont val="GHEA Grapalat"/>
        <family val="3"/>
      </rPr>
      <t xml:space="preserve">
2․1 ՀՀ կառավարության 2024թ․ հունվար 11-ի №54-Ն որոշմամբ Ջերմոցային գազերի արտանետումների գույքագրման պետական լիազոր մարմին է ճանաչվել Շրջակա միջավայրի նախարարությունը
</t>
    </r>
    <r>
      <rPr>
        <u/>
        <sz val="9"/>
        <color theme="1"/>
        <rFont val="GHEA Grapalat"/>
        <family val="3"/>
      </rPr>
      <t>3. ՀՀ ստանձնած միջազգային պարտավորություններից և արտաքին քաղաքականության գերակայություններից ռազմավարական, մասնավորապես եվրոինտեգրման  նպատակներից.</t>
    </r>
    <r>
      <rPr>
        <sz val="9"/>
        <color theme="1"/>
        <rFont val="GHEA Grapalat"/>
        <family val="3"/>
      </rPr>
      <t xml:space="preserve">
3․1 
</t>
    </r>
  </si>
  <si>
    <t>1. ՄԱԿ Կլիմայի փոփոխության շրջանակային կոնվենցիայով, Փարիզյան համաձայնագրով և Թափանցիկության ընդլայնված շրջանակով սահմանված միջազգային պարտովությունների չկատարման ռիսկ
2. միջգերատեսչական տվյալների փոխանակման համակարգի սխալ կամ ոչ միաձև գործարկում, տվյալների հավաքագրման անբավարար որակ։
3.Զեկույցների ուշացում, միջազգային վստահության կորուստ և հնարավոր մասնակի ֆինանսական միջոցների սահմանափակում։</t>
  </si>
  <si>
    <t>գույքագրում</t>
  </si>
  <si>
    <t>համակարգ</t>
  </si>
  <si>
    <t>ՇՄՆ "Հայհիդոմետ" ՊՈԱԿ-ի կառուցվածքում համապատասխան ստորաբաժանմնան ստեղծում` աշխատավարձ</t>
  </si>
  <si>
    <t>Մասնագիտական ծառայությունների ձեռքբերում</t>
  </si>
  <si>
    <t>Տեխնիկական սարքավորումներ և պահպանման ծախսեր</t>
  </si>
  <si>
    <t xml:space="preserve">Սնդիկը համարվում է բարձր թունավոր և կենսակուտակվող ծանր մետաղ, որը հանդիսանում է շրջակա միջավայրի առաջնային վերահսկման աղտոտիչներից մեկը։ Այն ունի բարձր էկոթունաբանական ակտիվություն, իսկ անթթվածին պայմաններում կարող է վերափոխվել մեթիլսնդիկի՝ առավել վտանգավոր ձևի, որը կուտակվում է բիոտայում և փոխանցվում սննդային շղթայով՝ առաջացնելով լուրջ ռիսկեր մարդու առողջության և էկոհամակարգերի համար։
Հայաստանի Հանրապետությունը 2017 թվականին վավերացրել է Սնդիկի վերաբերյալ Մինամատայի կոնվենցիան՝ ստանձնելով պարտավորություններ՝
•	գնահատել սնդիկի արտանետումները և արտահոսքերը,
•	ապահովել շրջակա միջավայրի բաղադրիչներում սնդիկի մոնիթորինգ,
•	ստեղծել տվյալահեն քաղաքականության հիմքեր։
Միաժամանակ, ՀՀ-ում առկա են սնդիկի հնարավոր արտանետումների և տարածման աղբյուրներ, մասնավորապես՝
•	հանքարդյունաբերություն և մետաղների մշակում,
•	վառելիքի և կենսազանգվածի այրում,
•	սնդիկ պարունակող թափոնների ոչ պատշաճ կառավարում,
•	գյուղատնտեսական հոսքաջրեր,
•	քաղաքային և արդյունաբերական արտանետումներ։
Ներկայումս ՀՀ-ում բացակայում է սնդիկի պետական, համակարգված և բազմաբաղադրիչ մոնիթորինգի ծրագիրը, ինչպես նաև առաջնային տվյալների բազան, ինչը սահմանափակում է միջազգային պարտավորությունների լիարժեք իրականացումը և ռիսկերի գիտական գնահատումը։
Ծրագրի նպատակն է ներդնել Հայաստանի Հանրապետությունում  շրջակա միջավայրի բաղադրիչներում սնդիկի և մեթիլսնդիկի մոնիթորինգի ժամանակակից, միջազգային պահանջներին համապատասխան համակարգ և ձևավորել առաջնային ազգային տվյալների բազա՝ Մինամատայի կոնվենցիայի և այլ միջազգային պարտավորությունների իրականացման աջակցման նպատակով։
Ծրագրի շրջանակում նախատեսվում է՝
1.	Ստեղծել սնդիկի մոնիթորինգի ազգային մեթոդաբանական և գործառնական շրջանակ։
2.	Իրականացնել սնդիկի կանոնավոր մոնիթորինգ շրջակա միջավայրի հիմնական բաղադրիչներում։
3.	Ձևավորել սնդիկի առաջնային տվյալների միասնական ազգային բազա։
4.	Ապահովել միջազգային հաշվետվությունների և ռիսկերի գնահատման համար անհրաժեշտ տեղեկատվություն։
5.	Աջակցել պետական քաղաքականության մշակմանը և շրջակա միջավայրի կառավարման որոշումների կայացմանը։
Ծրագրի շրջանակում կիրականացվի բազմաբաղադրիչ մոնիթորինգ՝
•	Օդ – ակտիվ և պասիվ նմուշառմամբ սնդիկի կոնցենտրացիաների կանոնավոր դիտարկում։
•	Ջուր – բարձր ռիսկայնությամբ ջրային մարմիններում սնդիկի և մեթիլսնդիկի մոնիթորինգ։
•	Հող և հատակային նստվածքներ – աղտոտման կուտակման գնահատում։
•	Բիոտա – ձկների և այլ օրգանիզմների միջոցով կենսակուտակման գնահատում։
Դիտակետերը ընտրվելու են ռիսկային տարածքներում՝
•	հանքարդյունաբերական շրջաններ (Սյունիք, Լոռի),
•	արդյունաբերական քաղաքներ (Երևան, Վանաձոր),
•	քաղաքային բարձր երթևեկությամբ գոտիներ,
•	ջրային էկոհամակարգեր։
Միաժամանակ, ծրագրի արդյունավետ իրականացման համար արդեն իսկ ստեղծվել են կարևոր ինստիտուցիոնալ և տեխնիկական նախադրյալներ՝ Ատոմային էներգիայի միջազգային գործակալության (ԱՄԷԳ) կողմից իրականացվող «Մինամատայի կոնվենցիայի պահանջներին համապատասխանելու համար սնդիկի մոնիթորինգի կարողությունների բարելավում» ծրագրի շրջանակներում։
Մասնավորապես, ծրագրի շրջանակում ԱՄԷԳ-ի կողմից ձեռք են բերվել սնդիկի անալիզների համար նախատեսված գազային քրոմատոգրաֆ՝ Methyl Mercury Analysis gas chromatography–cold-vapor atomic fluorescence spectrophotometer (Tekran® 2700), ինչպես նաև սնդիկի անմիջական չափման սարք՝ Milestone DMA-80 evo, որոնք փոխանցվել են Շրջակա միջավայրի նախարարության ենթակայությամբ գործող «Հիդրոօդերևութաբանության և մոնիթորինգի կենտրոն» ՊՈԱԿ-ի լաբորատորիային։
Սույն սարքավորումների առկայությունը հնարավորություն է տալիս ծրագրի շրջանակում իրականացնել բարձր ճշգրտությամբ չափումներ, ընդլայնել մոնիթորինգի ցուցանիշների շրջանակը և ապահովել միջազգային ստանդարտներին համապատասխան տվյալների ստացում։ Սա էապես բարձրացնում է ծրագրի կիրառական արժեքը, ինչպես նաև ապահովում է դրա արդյունքների անմիջական օգտագործելիությունը գերատեսչական մակարդակում՝ առանց լրացուցիչ խոշոր ներդրումների անհրաժեշտության։
</t>
  </si>
  <si>
    <t xml:space="preserve">1․ Մինամատայի կոնվենցիայով ՀՀ ստանձնած պարտավորությունների չիրականացում։ 
2․ ՀՀ ջրային էկոհամակարգի էկոլոգիական վիճակի գնահատման համար անհրաժեշտ, սնդիկի վերաբերյալ, առաջնային տվյալների բացկայություն։
3․ Էկոհամակարգում սնդիկի շրջանառության մասին որակական և քանակական տվյալների բացակայություն։
</t>
  </si>
  <si>
    <t>Ջրի, օդի, հողի և բիոտայի որակի տվյալներ և գնահատականներ</t>
  </si>
  <si>
    <t>ցուցանիշ</t>
  </si>
  <si>
    <t>Հատուկ նպատակային նյութեր՝ քիմիական նյութեր և պահեստամասեր</t>
  </si>
  <si>
    <t>Աշխատանքի վարձատրություն, ներառյալ 2 նոր հաստիքների տրամադրում</t>
  </si>
  <si>
    <t>Գործուղումներ</t>
  </si>
  <si>
    <t xml:space="preserve">ՀՀ ստորերկրյա ջրային ռեսուրսների
մոնիթորինգի դիտողական ցանցի  զարգացում
</t>
  </si>
  <si>
    <t xml:space="preserve">2005 թվականի մայիսի 3-ին ընդունված ՀՀ օրենքը 
Ջրի ազգային քաղաքականության հիմնադրույթների մասին
2006 թվականի նոյեմբերի 27-ին ընդունված
ՀՀ օրենքը Ջրի ազգային ծրագրի մասին,              Կառավարության 2021 թվականի նոյեմբերի 18-ի N1902-Լ որոշմամբ հաստատված՝ ՀՀ կառավարության 2021-2026 թվականների գործունեության միջոցառումների ծրագիր 
</t>
  </si>
  <si>
    <t xml:space="preserve">   Ծրագրի նպատակն է ՀՀ տարածքում ունենալ ԵՄ ջրի շրջանակային դիրեկտիվին համահունչ ստորերկրյա ջրերի մոնիթորինգի համակարգ, որն իրականացնելու համար անհրաժեշտ է ՀՀ բոլոր ջրավազանային կառավարման տարածքներում իրականացնել ստորերկրյա ջրային մարմինների տարանջատում: Այնուհետև յուրաքանչյուր ջրային մարմնում իրականացնել ստորերկրյա ջրերի քանակական և որակական ուսումնասիրություններ:
</t>
  </si>
  <si>
    <t xml:space="preserve"> Սույն  ծրագրի իրականացման դեպքում  կստեղծվի  ԵՄ ջրի շրջանակային դիրեկտիվին համապատասխան ստորերկրյա ջրերի մոնիթորինգի ազգային դիտողական ցանց, որի միջոցով հնարավոր է լիարժեք ուսումնասիրել ՀՀ ողջ տարածքի ստորերկրյա ջրերի ռեժիմի հնարավոր փոփոխությունները: 
Ցանցի զարգացման և վերազինման արդյունքում հնարավոր կլինի բնութագրել յուրաքանչյուր ստորերկրյա ջրային մարմնի տարածաշրջանային ֆոնը, բացահայտել տարածաշրջանային խախտված ռեժիմը, գնահատել փոփոխման մասշտաբները, որոնք ստեղծվել են ստորերկրյա ջրերի շահագործման ընթացքում: Այս ցանցի դիտարկումների արդյունքներով կգնահատվեն խոշոր ջրառների միջև հնարավոր փոխազդեցությունները և մարդու տնտեսական գործունեության ընթացքում ստորերկրյա հիդրոսֆերայում առաջացած և/կամ տեղի ուեցող փոփոխությունները :
Ծրագրի իրականացումից հետո ակնկալվում են հետևյալ արդյունքները.
1) ՀՀ ջրավազանային կառավարման տարածքներում ստորերկրյա ջրային մարմինների տարանջատում,
2) Ազգային ցանցի մոնիթորինգի դիտացանցի վերակառուցում և արդիականացում,
3) Յուրաքանչյուր ստորերկրյա ջրային մարմնում ԵՄ ՋՇԴ սկզբունքների վրա հիմնված մոնիթորինգի իրականացում,
4) Ստորերկրյա ջրային մարմինների կարգավիճակի դասակարգում,
5) Ստորերկրյա ջրերի որակի և քանակի կարճաժամկետ և երկրաժամկետ կանխատեսումներ,
6) Վատ կարգավիճակ ունեցող ջրային մարմինների կարգավիճակի բարելավմանն ուղղված միջոցառումների մշակում:
</t>
  </si>
  <si>
    <t xml:space="preserve"> Կվտանգվի ՀՀ ամբողջ տարածքի  բոլոր ջրավազանային  կառավարման տիրույթներում  ստորերկրյա  ջրերի  քանակական և որակական  փոփոխությունների  ինչպես նաև համապատասխան  կանխատեսումների  գործընթացը, որի  պատճառով, հաշվի  առնելով  նաև  ընթացող   կլիմայի փոփոխությունները և անոմալ  երևույթները, անհնար  կլինի  ճիշտ  գնահատել ստորերկրյա ջրերի վիճակը  և  սպասվող  զարգացումները,  դրանց  ազդեցությունը ՀՀ տնտեսության և  սոցիալ-տնտեսական զարգացման վրա։ 
Ծրագիրը չիրականացնելը կհանգեցնի ՀՀ կողմից ստանձնած միջազգային պարտավորությունների չկատարմանը</t>
  </si>
  <si>
    <t>Ստորերկրյա ջրային մարմինների քարտեզագրում և տարանջատում, այդ թվում՝</t>
  </si>
  <si>
    <t>Քարտեզագրված և տարանջատված ստորերկրյա ջրային մարմինների քանակ: (Նպատակ՝ ՀՀ ամբողջ տարածքում)</t>
  </si>
  <si>
    <t>Ստորերկրյա ջրային մարմինների կարգավիճակի գնահատման ավարտված դեպքեր: (Նպատակ՝ բոլոր մոնիթորինգի կետերում)</t>
  </si>
  <si>
    <t>Մոնիթորինգի ցանցի ընդլայնում և հագեցվածության բարձրացում, այդ թվում՝</t>
  </si>
  <si>
    <t xml:space="preserve"> Նոր դիտակետ հորատանցքերի քանակ</t>
  </si>
  <si>
    <t>Վերանորոգված կամ նորով փոխարինված գործող դիտակետ հորատանցքերի քանակ</t>
  </si>
  <si>
    <t>Ավտոմատ չափիչ սարքավորումներով կահավորված դիտակետերի տոկոս</t>
  </si>
  <si>
    <t>Մոնիթորինգի որակի և արդյունավետության բարձրացում:</t>
  </si>
  <si>
    <t>ԵՄ ՋՇԴ սկզբունքներին համապատասխան մոնիթորինգ իրականացնող դիտակետերի տոկոս</t>
  </si>
  <si>
    <t>Ջրի որակի և քանակի կարճաժամկետ և երկարաժամկետ կանխատեսումների քանակ՝ տարեկան կանխատեսում</t>
  </si>
  <si>
    <t>Ստորերկրյա ջրերի հետ կապված էկոհամակարգի պահպանում:</t>
  </si>
  <si>
    <t>Աղտոտման հնարավոր օջախների բացահայտման համար իրականացված հիդրոերկրաբանական երթուղիների քանակ: (Նպատակ՝ տարեկան 100%)</t>
  </si>
  <si>
    <t>Մարդու տնտեսական գործունեության ազդեցության գնահատում:</t>
  </si>
  <si>
    <t>Ստորերկրյա հիդրոսֆերայում արձանագրված փոփոխությունների քանակ և բնույթ: (Նպատակ՝ տարեկան հաշվետվություն), քանակ</t>
  </si>
  <si>
    <t xml:space="preserve">Խոշոր ջրառների միջև փոխազդեցությունների ուսումնասիրված դեպքեր: (Նպատակ՝ տարեկան ուսումնասիրություն), քանակ
</t>
  </si>
  <si>
    <t>ջրային ռեսուրսների պահպանմանն ուղղված ծրագրերի մշակման քանակ: (Նպատակ՝ տարեկան առնվազն 1 ծրագիր)․ քանակ</t>
  </si>
  <si>
    <t>17 նոր դիտակետ հորատանցքերի հորատում</t>
  </si>
  <si>
    <t>70 գործող դիտակետ հորատանցքերի վերանորոգում կամ լուծարում և դրանց փոխարեն նորերի հորատում</t>
  </si>
  <si>
    <t>Հորատանցքերի կահավորում ավտոմատ չափիչ սարքավորումներով</t>
  </si>
  <si>
    <t>Մինչև 1.0 լ/վ ծախսով աղբյուր-դիտակետերի կառուցում և վերանորոգում</t>
  </si>
  <si>
    <t>1.0 լ/վ-ից բարձր ծախսով աղբյուր-դիտակետերի կառուցում և վերանորոգում</t>
  </si>
  <si>
    <t xml:space="preserve">Ընթացիկ ծախսեր 1016 11004 «Հայհիդրոմետ» ՊՈԱԿ-ի միջոցով իրականացվող </t>
  </si>
  <si>
    <t>Յուրաքանչյուր դիտակետում ստորերկրյա ջրերի որակական հատկանիշների ուսումնասիրություններ</t>
  </si>
  <si>
    <t>Աշխատավարձ</t>
  </si>
  <si>
    <t>Գործուղում (ստուգողական չափումներ)</t>
  </si>
  <si>
    <t>Վառելիք</t>
  </si>
  <si>
    <t xml:space="preserve">ՀՀ 6 ջրավազանային կառավարման տարածքներում ստորերկրյա ջրերի ազգային ցանցի մոնիթորնգն իրականացվում է 114 ջրաղբյուրում, որոնցում դիտարկվում են ստորերկրյա ջրաղբյուրների ծախսը, ջերմաստիճանը, ճնշումը և մակարդակը՝ ամսական 6 անգամ հաճախականությամբ: 55 դիտակետում տարեկան երկու անգամ իրականացվում է նմուշառում ջրի որակի լաբորատոր հետազոտություններ իրականացնելու համար: 
Դիտարկվող ստորերկրյա ջրերի ազգային ցանցի դիտակետերի քանակը անբավարար է ՀՀ ամբողջ տարածքի ստորերկրյա ջրային ռեսուրսների քանակական և որակական գնահատում իրականացնելու համար:
</t>
  </si>
  <si>
    <r>
      <t>Պետական մարմնի անվանումը</t>
    </r>
    <r>
      <rPr>
        <vertAlign val="superscript"/>
        <sz val="9"/>
        <color theme="1"/>
        <rFont val="GHEA Grapalat"/>
        <family val="3"/>
      </rPr>
      <t>3</t>
    </r>
    <r>
      <rPr>
        <sz val="9"/>
        <color theme="1"/>
        <rFont val="GHEA Grapalat"/>
        <family val="3"/>
      </rPr>
      <t xml:space="preserve">՝ </t>
    </r>
    <r>
      <rPr>
        <vertAlign val="superscript"/>
        <sz val="10"/>
        <color theme="1"/>
        <rFont val="GHEA Grapalat"/>
        <family val="3"/>
      </rPr>
      <t/>
    </r>
  </si>
  <si>
    <r>
      <t xml:space="preserve"> ՀՀ Շրջակա միջավայրի նախարարություն «</t>
    </r>
    <r>
      <rPr>
        <sz val="9"/>
        <color theme="1"/>
        <rFont val="GHEA Grapalat"/>
        <family val="3"/>
      </rPr>
      <t>Հիդրոօդերևութաբանության մոնիթորինգի կենտրոն»  ՊՈԱԿ</t>
    </r>
  </si>
  <si>
    <r>
      <t>Նոր նախաձեռնությանն առնչվող այլ պետական մարմինների անվանումները</t>
    </r>
    <r>
      <rPr>
        <vertAlign val="superscript"/>
        <sz val="9"/>
        <color theme="1"/>
        <rFont val="GHEA Grapalat"/>
        <family val="3"/>
      </rPr>
      <t>4</t>
    </r>
    <r>
      <rPr>
        <sz val="9"/>
        <color theme="1"/>
        <rFont val="GHEA Grapalat"/>
        <family val="3"/>
      </rPr>
      <t>՝</t>
    </r>
  </si>
  <si>
    <r>
      <t xml:space="preserve"> </t>
    </r>
    <r>
      <rPr>
        <sz val="9"/>
        <color theme="1"/>
        <rFont val="GHEA Grapalat"/>
        <family val="3"/>
      </rPr>
      <t xml:space="preserve"> Էկոնոմիկայի, ներքին  գործերի, Տարածքային կառավարման և ենթակառուցվածքների, Ֆինանսների, Պաշտպանության  նախարարություններ, ՀՀ ԳԱԱ    համապատասխան  գիտահետազոտական  ինստիտուտներ</t>
    </r>
  </si>
  <si>
    <r>
      <t xml:space="preserve">Ծրագրի անվանումը՝ </t>
    </r>
    <r>
      <rPr>
        <vertAlign val="superscript"/>
        <sz val="9"/>
        <color theme="1"/>
        <rFont val="GHEA Grapalat"/>
        <family val="3"/>
      </rPr>
      <t>6</t>
    </r>
    <r>
      <rPr>
        <sz val="9"/>
        <color theme="1"/>
        <rFont val="GHEA Grapalat"/>
        <family val="3"/>
      </rPr>
      <t xml:space="preserve"> </t>
    </r>
  </si>
  <si>
    <r>
      <t xml:space="preserve">Ծրագրի դասիչը՝ </t>
    </r>
    <r>
      <rPr>
        <vertAlign val="superscript"/>
        <sz val="9"/>
        <color theme="1"/>
        <rFont val="GHEA Grapalat"/>
        <family val="3"/>
      </rPr>
      <t>7</t>
    </r>
  </si>
  <si>
    <r>
      <t>Միջոցառման դասիչը</t>
    </r>
    <r>
      <rPr>
        <vertAlign val="superscript"/>
        <sz val="9"/>
        <color theme="1"/>
        <rFont val="GHEA Grapalat"/>
        <family val="3"/>
      </rPr>
      <t>11</t>
    </r>
    <r>
      <rPr>
        <sz val="9"/>
        <color theme="1"/>
        <rFont val="GHEA Grapalat"/>
        <family val="3"/>
      </rPr>
      <t xml:space="preserve">՝    </t>
    </r>
  </si>
  <si>
    <t>Ծրագրի   իրականացումը     թույլ   կտա ռադիոլոկացիոն դիտարկումների   ցանցի   ընդարձակում՝  հանրապետության ողջ տարածքի ընդգրկմամբ, դիտարկումների տվյալների հավաքման արդյունավետ  և  այժմեական  համակարգի  ստեղծում, գերկարճաժամկետ կանխատեսումների բարելավում, հիդրոօդերևութաբանական վտանգավոր երևույթների մասին վաղ ազդարարում,    հնարավորություն  կտա բարելավել համակարգի գործունեության հիմնական ուղղություններով գործող պարտավորությունների կատարումը և ընդհանուր առմամբ կնպաստի Հայաստանի Հանրապետության հիդրոօդերևութաբանական   անվտանգության    բարձրացմանը։</t>
  </si>
  <si>
    <t>Միջոցառման իրականացման ծավալների փոփոխություններ, միջոցառման կասեցում հետաձգում</t>
  </si>
  <si>
    <t xml:space="preserve">Ներկայացվող նախագիծը առնչվում է   Հայաստանի Հանրապետության կառավարության    2021-2026 թվականների  ծրագրի    4.10  կետի  հետ:
</t>
  </si>
  <si>
    <t xml:space="preserve">    Ծրագրի նպատակն է հատկապես վտանգավոր հիդրոօդերևութաբանական երևույթների, կարկտի, հորդառատ անձրևների, ուժեղ քամիների, պտտահողմերի գերկարճաժամկետ կանխատեսում, վաղ նախազգուշացում և  իրազեկման  հուսալիության  բարձրացում: Բացի կանխատեսումները ռադիոլոկացիոն կայանի տվյալները հնարավորություն կտան կատարել կարկտաբեր ամպերի առաջացման օջախների, դրանց շարժման հետագծերի, զարգացման և թուլացման տեղանքների, ռելիեֆի և ամպերի փոխազդեցության հետևանքների քարտեզագրում, որը շատ կարևոր է մի շարք գիտական վերլուծություններ և եզրակացություններ կատարելու համար։</t>
  </si>
  <si>
    <t xml:space="preserve">Վտանգավոր հիդրոօդերևութաբանական երևույթների կանխատեսման և վաղօրոք նախազգուշացման համակարգի ստեղծումը  պետք է  իրականացվի  ռադիոլոկացիոն  մոնիթորինգի  կենտրոն  ստեղծելու  նպատակով, այն  հնարավորություն  կտա  կատարել  հիդրոօդերևութաբանական  վտանգավոր  երևույթների  կանխատեսման  բարելավում և  վաղ  նախազգուշացում։Վերջին տասնամյակներում աճել է վտանգավոր երևույթների թիվը և դրանց կլիմայական էքստրեմումները, առանձին վայրերում զգալի փոփոխվել են որոշ օդերևութաբանական մեծությունների  արժեքները, մեծացել ազդեցության շրջանը: Աճել է նաև վտանգավոր հիդրոօդերևութաբանական երևույթներից մարդկային զոհերի թիվը և տնտեսական կորուստների քանակը: Ապացուցվել է, որ   հիդրոօդերևութաբանական  վտանգավոր  երևույթները  կարող են նպաստել այնպիսի աղետների առաջացմանը և ուժգնացմանը, ինչպիսիք են անապատացումը, ջրհեղեղները, մթնոլորտում թունավոր գազերի կուտակումները, ինֆեկցիոն հիվանդությունների տարածումը և այլն:
Վերլուծությունները ցույց են տալիս, որ Հայաստանում վտանգավոր երևույթների առաջացման հաճախությունը ևս ունի աճման տենդենց: Ընդ որում, Հայաստանի Հանրապետության տնտեսությանը առավել վնաս են հասցնում երաշտը, ցրտահարությունը, ջերմային ալիքները, կարկտահարությունը, ուժեղ քամիները, վարարումները, սելավները, ուժեղ մառախուղը, անտառային հրդեհները և այլն:
Ծրագրի իրականացումը թույլ կտա ռադիոլոկացիոն դիտարկումների ցանցի ընդարձակում՝ հանրապետության ողջ տարածքի ընդգրկմամբ, դիտարկումների տվյալների հավաքման արդյունավետ և այժմեական համակարգի ստեղծում,  հնարավորություն  կտա բարելավել համակարգի գործունեության հիմնական ուղղություններով  գործող պարտավորությունների կատարումը և ընդհանուր առմամբ կնպաստի Հայաստանի Հանրապետության հիդրոօդերևութաբանական անվտանգության բարձրացմանը։
</t>
  </si>
  <si>
    <t xml:space="preserve">     Համաշխարհային բանկի փորձագետների գնահատականով համակարգի արդիականացման ներդրումների տնտեսական էֆեկտը կազմում է 150-320%: Դա նշանակում է համակարգին ուղղված յուրաքանչյուր դոլլարը, կարող է բերել 1,5-3,2 ԱՄՆ դոլլար օգուտ՝ տարերային հիդրոօդերևութաբանական երևույթների վնասների կանխարգելման արդյունքում: 
Ճյուղային գնահատականները կազմվել են միայն տնտեսության առանձին կարևորություն ունեցող սեկտորների համար, հատկապես գյուղատնտեսություն, ջրային ռեսուրսների կառավարում և էներգետիկա և  հաշվի առնված չեն տնտեսության հիդրոօդերևութաբանական պայմաններից կախված այլ ճյուղերի գործունեության էֆեկտիվության բարձրացման հետ կապված լրացուցիչ տնտեսական էֆեկտները: Այս առումով, իրական տնտեսական  էֆեկտը կարող է ավելի զգալի լինել:
Ծրագրի իրագործումը թույլ կտա բարելավել  գործունեության հիմնական ուղղություններով  գործող պարտավորությունների կատարումը և ընդհանուր առմամբ կնպաստի Հայաստանի Հանրապետության հիդրոօդերևութաբանական անվտանգության բարձրացմանը: </t>
  </si>
  <si>
    <t>Նախագծի չիրականացման դեպքում վտանգավոր հիդրոօդերևութաբանական երևույթների վերաբերյալ գերկարճաժամկետ կանխատեսումները և վաղօրոք նախազգուշացումները կլինեն ոչ տեղայնացված և ոչ էֆֆեկտիվ: Համաձայն Համաշխարհային օդերևութաբանական կազմակերպության փորձագետների գնահատման, հիդրոօդերևութաբանական տեղեկատվության օգտագործումը թույլ է տալիս կանխել կամ նվազեցնել կորուստների ընդհանուր քանակը 30%-ով հետևաբար այն  կբերի  հասարակությանը, պետական կառավարման մարմիններին, տարածքային կառավարման և տեղական ինքնակառավարման մարմիններին, իրավաբանական և  ֆիզիկական անձանց, ավիացիային, գյուղատնտեսության, բնապահպանության, էներգետիկայի, առողջապահության, տրանսպորտի բնագավառներին, տնտեսավարող  սուբյեկտներին մատուցվող հիդրոօդերևութաբանական սպասարկման որակազրկում, հիդրոօդերևութաբանական վտանգավոր երևույթներից և կլիմայական ռիսկերից բնակչության և տնտեսության ոչ բավարար պաշտպանություն:Նախագծի  հիմքում ընկած ենթադրությունների հետ կապված հիմնական ռիսկերը, որոնք կարող են բացասաբար ազդել  ներկայացված նպատակների և արդյունքների ձեռքբերման վրա, հիմնականում կապվում են դոպլերային ռադիոլոկատորի   ձեռք բերման հետ, որի  բացակայությունը ենթադրում է պետական նշանակության աշխատանքների ծրագրի, կանոնադրական պարտականությունների  թերակատարում:</t>
  </si>
  <si>
    <r>
      <t xml:space="preserve">Արդյունքային չափորոշիչները </t>
    </r>
    <r>
      <rPr>
        <vertAlign val="superscript"/>
        <sz val="9"/>
        <color theme="1"/>
        <rFont val="GHEA Grapalat"/>
        <family val="3"/>
      </rPr>
      <t xml:space="preserve">24 </t>
    </r>
  </si>
  <si>
    <t>Հայաստանի Հանրապետության տարածքի ընդգրկում ռադիոլոկացիոն դիտարկումների ցանցով</t>
  </si>
  <si>
    <t>Վտանգավոր հիդրոօդերևութաբանական երևույթների կանխատեսման ճշգրտության բարձրացում</t>
  </si>
  <si>
    <t>Նախազգուշացման հաղորդագրությունների տարածման ժամանակի կրճատում՝ մինչև 15 րոպե</t>
  </si>
  <si>
    <t>րոպե</t>
  </si>
  <si>
    <t>Հիդրոօդերևութաբանական տվյալների հավաքագրման և մշակման համակարգի ավտոմատացում</t>
  </si>
  <si>
    <t>Տվյալների թարմացման հաճախականություն՝ իրական ժամանակում (օնլայն)</t>
  </si>
  <si>
    <t>Վերլուծական հաշվետվությունների պատրաստում, ժամկետ</t>
  </si>
  <si>
    <t>ամիս</t>
  </si>
  <si>
    <t>Համակարգի միջոցով ստացված տեղեկատվության օգտագործման պետական կառույցների թիվ</t>
  </si>
  <si>
    <t>Տվյալների արխիվացման համակարգի ստեղծում՝ նվազագույնը 3 տարվա ժամկետով</t>
  </si>
  <si>
    <t>տարի</t>
  </si>
  <si>
    <t>Հիդրոօդերևութաբանական ռիսկերի վերաբերյալ հանրային իրազեկման մակարդակի բարձրացում՝ 90%</t>
  </si>
  <si>
    <t>Դոպլերային ռադիոլոկատոր, քանակ</t>
  </si>
  <si>
    <t>Ռադիոթափանցիկ պատսպարման գմբեթ, քանակ</t>
  </si>
  <si>
    <t>Դիզելային գեներատոր, քանակ</t>
  </si>
  <si>
    <t>Մետաղական  աշտարակ, քանակ</t>
  </si>
  <si>
    <t>Տեխնիկական հագեցվածության մակարդակ, տոկոս</t>
  </si>
  <si>
    <r>
      <t xml:space="preserve">Պահանջվող ռեսուրսները </t>
    </r>
    <r>
      <rPr>
        <vertAlign val="superscript"/>
        <sz val="9"/>
        <color theme="1"/>
        <rFont val="GHEA Grapalat"/>
        <family val="3"/>
      </rPr>
      <t xml:space="preserve">26 </t>
    </r>
  </si>
  <si>
    <t>Ընթացիկ ծախսեր  այդ թվում</t>
  </si>
  <si>
    <t>1. Աշխատողների աշխատավարձ և հավելավճար</t>
  </si>
  <si>
    <t>2. Էներգետիկ ծառայություններ</t>
  </si>
  <si>
    <t>3. Կապի ծառայություններ</t>
  </si>
  <si>
    <t>5. Տրանսպորտային ծախսեր</t>
  </si>
  <si>
    <t>Կապիտալ ծախսեր</t>
  </si>
  <si>
    <t>1. Դոպլերային ռադիոլոկատորի ձեռքբերում</t>
  </si>
  <si>
    <t>2. Ռադիոթափանցիկ պատսպարման իրերի ձեռքբերում</t>
  </si>
  <si>
    <t>3. Դիզելային գեներատոր</t>
  </si>
  <si>
    <t>4. Մետաղական  աշտարակի կառուցում</t>
  </si>
  <si>
    <t>Տեղափոխում,տեղադրում,մոնտաժային աշխատանքներ</t>
  </si>
  <si>
    <t>ԱԱՀ</t>
  </si>
  <si>
    <t>ԱՄԲՈՂՋԸ</t>
  </si>
  <si>
    <r>
      <t xml:space="preserve">Ֆինանսավորման աղբյուրը </t>
    </r>
    <r>
      <rPr>
        <vertAlign val="superscript"/>
        <sz val="9"/>
        <color theme="1"/>
        <rFont val="GHEA Grapalat"/>
        <family val="3"/>
      </rPr>
      <t>27</t>
    </r>
  </si>
  <si>
    <r>
      <t>Այլընտրանք # 2 (նվազագույն արդյունքների սցենար)</t>
    </r>
    <r>
      <rPr>
        <vertAlign val="superscript"/>
        <sz val="9"/>
        <color theme="1"/>
        <rFont val="GHEA Grapalat"/>
        <family val="3"/>
      </rPr>
      <t xml:space="preserve"> 28 </t>
    </r>
  </si>
  <si>
    <t xml:space="preserve"> Համաշխարհային բանկի փորձագետների գնահատականով համակարգի արդիականացման ներդրումների տնտեսական էֆեկտը կազմում է 150-320%: Դա նշանակում է համակարգին ուղղված յուրաքանչյուր դոլլարը, կարող է բերել 1,5-3,2 ԱՄՆ դոլլար օգուտ՝ տարերային հիդրոօդերևութաբանական երևույթների վնասների կանխարգելման արդյունքում: 
Ճյուղային գնահատականները կազմվել են միայն տնտեսության առանձին կարևորություն ունեցող սեկտորների համար, հատկապես գյուղատնտեսություն, ջրային ռեսուրսների կառավարում և էներգետիկա և  հաշվի առնված չեն տնտեսության հիդրոօդերևութաբանական պայմաններից կախված այլ ճյուղերի գործունեության էֆեկտիվության բարձրացման հետ կապված լրացուցիչ տնտեսական էֆեկտները: Այս առումով, իրական տնտեսական  էֆեկտը կարող է ավելի զգալի լինել:
Ծրագրի իրագործումը թույլ կտա բարելավել  գործունեության հիմնական ուղղություններով  գործող պարտավորությունների կատարումը և ընդհանուր առմամբ կնպաստի Հայաստանի Հանրապետության հիդրոօդերևութաբանական անվտանգության բարձրացմանը: 
 </t>
  </si>
  <si>
    <t xml:space="preserve">   Հանրային   ներդրումային  կոմիտեի    հինգերորդ  նիստում  /2023թ․դեկտեմբերին/ ընդունվել է   որոշում  «Վտանգավոր հիդրոօդերևութաբանական երևույթների կանխատեսման և վաղօրոք նախազգուշացման համակարգի հիմնում» ծրագրի  վերաբերյալ,  այն  է ․
• Հաստատել «Վտանգավոր հիդրոօդերևութաբանական երևույթների կանխատեսման և վաղօրոք նախազգուշացման համակարգի հիմնում» ծրագրի տեխնիկատնտեսական ուսումնասիրությունը, • Ներառել «Վտանգավոր հիդրոօդերևութաբանական երևույթների կանխատեսման և վաղօրոք նախազգուշացման համակարգի հիմնում» ծրագիրը հանրային ներդրումային ծրագրերի առաջնահերթությունների ցանկում, • Իրավասու մարմնի կողմից ապահովել «Վտանգավոր հիդրոօդերևութաբանական երևույթների կանխատեսման և վաղօրոք նախազգուշացման համակարգի հիմնում» ծրագրի իրականացման համար ֆինանսական միջոցների ստացման գործընթացը՝ համաձայն   ՀՀ  Կառավարության 2023թ․ փետրվարի 9-ի ՛՛Հանրային  ներդրումային  ծրագրերի վերհանման,մշակման,գնահատման  և  առաջնահերթությունների  որոշման  կարգը  հաստատելու  մասին՛՛  N 175-Ն  որոշմամբ  սահմանված  կարգի  43-րդ կետի 2-րդ ենթակետի, համաձայն,որի  բոլոր ՄԺԾԾ  հայտերում պահանջը ներառվել է, բայց մինչև օրս  հատկացումներ չկան։ 
</t>
  </si>
  <si>
    <t xml:space="preserve">Ծրագրի շրջանակում իրականացվող միջոցառումները վերաբերում են ինչպես պարտադիր, այնպես էլ հայեցողական պարտավորությունների կատարմանը։
1. Պարտադիր պարտավորություններ
•	մթնոլորտային օդի որակի պետական մոնիթորինգի կազմակերպում և իրականացում,
•	մոնիթորինգային տվյալների ճշգրիտ, ամբողջական և ժամանակին հավաքում, վերլուծություն և հրապարակում,
•	ՀՀ կառավարության որոշումներով սահմանված դիտակայանների նվազագույն քանակի և տեխնիկական պահանջների ապահովում,
•	միջազգային պայմանագրերով սահմանված հաշվետվությունների ժամանակին և որակյալ ներկայացում,
•	բնակչության առողջության պաշտպանությանն ուղղված տեղեկատվության հասանելիության ապահովում։
2. Հայեցողական (քաղաքական և ռազմավարական) պարտավորություններ
•	մթնոլորտային օդի որակի մոնիթորինգի համակարգի շարունակական արդիականացում և տեխնիկական զարգացում,
•	ԵՄ օդի որակի կառավարման մոտեցումներին և լավագույն փորձին փուլային մոտարկում,
•	թվայնացված մոնիթորինգի և իրական ժամանակում տվյալների հրապարակման գործիքների զարգացում,
•	հանրային իրազեկման և մասնակցության բարձրացում,
•	մթնոլորտային օդի աղտոտվածության կանխարգելմանն </t>
  </si>
  <si>
    <r>
      <rPr>
        <b/>
        <i/>
        <sz val="9"/>
        <color theme="1"/>
        <rFont val="GHEA Grapalat"/>
        <family val="3"/>
      </rPr>
      <t>1. ՀՀ օրենսդրություն</t>
    </r>
    <r>
      <rPr>
        <sz val="9"/>
        <color theme="1"/>
        <rFont val="GHEA Grapalat"/>
        <family val="3"/>
      </rPr>
      <t xml:space="preserve">
1.	ՀՀ օրենքը «Մթնոլորտային օդի պահպանության մասին»
Օրենքով սահմանվում է մթնոլորտային օդի պահպանության պետական քաղաքականության իրականացումը, այդ թվում՝
•	մթնոլորտային օդի որակի պետական մոնիթորինգի կազմակերպումը,
•	օդի աղտոտվածության կանխարգելումը և նվազեցումը,
•	օդի որակի վերաբերյալ տեղեկատվության հավաքումը, վերլուծությունը և հանրությանը տրամադրումը։
2.	ՀՀ օրենքը «Տեղեկատվության ազատության մասին»
Սահմանում է շրջակա միջավայրի վերաբերյալ տեղեկատվության հասանելիության և թափանցիկության ապահովման պարտավորությունները։
2. ՀՀ կառավարության որոշումներ
1.	ՀՀ կառավարության 2025 թվականի մայիսի 22-ի N 611-Լ որոշում
«Մթնոլորտային օդի պահպանության բնագավառում 2025–2030 թվականների համալիր միջոցառումների ծրագիրը հաստատելու մասին»
– սահմանում է մթնոլորտային օդի որակի մոնիթորինգի համակարգի արդիականացման և դիտացանցի զարգացման պետական քաղաքականության հիմնական ուղղությունները։
2.	ՀՀ կառավարության 2025 թվականի դեկտեմբերի 25-ի N 1958-Ն որոշում
«Մթնոլորտային օդի պետական մոնիթորինգի իրականացման, ստացված տվյալների հավաքման, վերլուծության, գնահատման և տեղեկատվության տրամադրման կարգը և մոնիթորինգի ցուցանիշները հաստատելու մասին»
– սահմանում է մոնիթորինգի կազմակերպման, տվյալների որակի և հրապարակման պարտադիր պահանջները։
3.	ՀՀ կառավարության 2025 թվականի օգոստոսի 14-ի N 1142-Ն որոշում
«Մթնոլորտային օդի որակի գնահատման չափանիշների, աղտոտվածության չափման մեթոդների և ստանդարտացված չափման մեթոդների, ինչպես նաև չափման կայանների տեղադիրքերի և քանակների միասնական չափանիշների վերաբերյալ կարգը հաստատելու մասին»
– սահմանում է մոնիթորինգային դիտակայանների նվազագույն քանակի, տեղաբաշխման և տեխնիկական պահանջները։
4.	ՀՀ կառավարության 2021 թվականի նոյեմբերի 18-ի N 1902-Լ որոշում
«ՀՀ կառավարության 2021–2026 թվականների գործունեության միջոցառումների ծրագիրը»
– ներառում է շրջակա միջավայրի պահպանության և մոնիթորինգի համակարգերի արդիականացման ուղղությամբ նախատեսված միջոցառումները։
3. ՀՀ ստանձնած միջազգային պարտավորություններ
1.	Մեծ տարածությունների վրա օդի անդրսահմանային աղտոտման մասին կոնվենցիա (CLRTAP)
– պարտադրում է օդի աղտոտվածության մոնիթորինգի, տվյալների հավաքման և միջազգային հաշվետվությունների իրականացում։
2.	Առողջապահության համաշխարհային կազմակերպության օդի որակի ուղեցույցներ (WHO Air Quality Guidelines, 2021)
– սահմանում են մարդու առողջության պաշտպանության համար օդի որակի նպատակային ցուցանիշները։
3.	ՀՀ–ԵՄ Համապարփակ և ընդլայնված գործընկերության համաձայնագիր (CEPA)
– նախատեսում է ԵՄ շրջակա միջավայրի օրենսդրության, այդ թվում՝ օդի որակի կառավարման պահանջների մոտարկում։
4.	Կայուն զարգացման նպատակներ (SDGs)
– մասնավորապես SDG 3 (առողջություն), SDG 11 (կայուն քաղաքներ) և SDG 13 (կլիմայի փոփոխություն)։</t>
    </r>
  </si>
  <si>
    <t xml:space="preserve">Ներկայումս Հայաստանի Հանրապետությունում մթնոլորտային օդի աղտոտվածության դիտարկումները իրականացվում են հիբրիդային մոնիթորինգային դիտացանցի միջոցով, որը բաղկացած է 16 հիմնական անշարժ դիտակայանից, և երկու ավտոմատ դիտակայաներից և 191 շարժական (պասիվ) նմուշառման դիտակետից։ Բացի ավտոմատ դիտակայաններից, մնացած դիտակետերում դիտարկումներն իրականացվում են օդի նմուշառում, և դրանց հետագա լաբորատոր փորձարկման եղանակով, ինչը չի ապահովում տվյալների օպերատիվ ստացում և հրապարակում։ 
ՀՀ օրենսդրական և միջազգային պահանջների համաձայն՝ անշարժ դիտակայաններում պարտադիր կերպով պետք է իրականացվի հետևյալ աղտոտիչների մոնիթորինգը՝ ծծմբի երկօքսիդի (SO₂), ազոտի օքսիդների (NO₂/NOx), ածխածնի մոնօքսիդի (CO), կախված մասնիկների (PM₁₀ և PM₂․₅), գետնամերձ օզոնի (O₃՝ երկրորդային աղտոտիչ) վերաբերյալ՝ նվազագույնը միջին ժամային կոնցենտրացիաների ապահովմամբ։
Ներկայումս գործող շարժական և անշարժ դիտակետերում չափվող աղտոտիչների ցանկը միայն մասամբ է համապատասխանում նշված պահանջներին։ Կախված մասնիկների (PM₁₀ և PM₂․₅) և ածխածնի մոնօքսիդի չափումները իրականացվում են միայն երկու ավտոմատ դիտակայանում, և մնացած անշարժ դիտակայաններում իրականացվում է  չտարբերակված ընդհանուր փոշու պարունակության որոշում։ Բացի այդ, օդի աղտոտիչների վերաբերյալ ստացված տվյալների իրական ժամանակում (real-time) հասանելիությունը, օպերատիվ հրապարակումը և ժամանակային գնահատումը նույնպես սահմանափակ են և չեն բավարարում միջազգային լավագույն փորձին։
Մթնոլորտային օդի որակի մոնիթորինգի դիտացանցի արդիականացման և միջազգային չափանիշներին համապատասխանեցման նպատակով 2025 թվականին պետական բյուջեից հատկացված 300 մլն դրամի հաշվին ձեռք են բերվել մթնոլորտային օդի որակի երկու ավտոմատ դիտակայաններ։ 
Մթնոլորտային օդի որակի մոնիթորինգի դիտացանցի զարգացման շրջանակում 2025 թվականի սեպտեմբերի 29-ին Շրջակա միջավայրի նախարարությունը և Ճապոնիայի կառավարությունը ստորագրել են «Հայաստանի Հանրապետության և Ճապոնիայի միջև «Տնտեսական և սոցիալական զարգացում» դրամաշնորհի տրամադրման համաձայնագիր։ Համաձայնագրի շրջանակում նախատեսվում է ձեռք բերել Horiba (Ճապոնիա) ընկերության արտադրության ժամանակակից ավտոմատ սարքավորումներ՝ մթնոլորտային օդի որակի երեք դիտակայանի համար՝ հիմնական աղտոտիչների (SO₂, NOx, CO, O₃, PM₁₀, PM₂․₅) չափման նպատակով։ Նոր դիտակայանները կտեղադրվեն Երևան քաղաքի երեք վարչական շրջաններում` ապահովելով օդի աղտոտվածության վերաբերյալ ավելի ամբողջական և հասանելի տեղեկատվություն։
Բացի այդ, 2026 թվականին պետական միջոցների հաշվին նախատեսվում է ձեռք բերել ևս մեկ ժամանակակից ավտոմատ դիտակայան։
Մոնիթորինգի համակարգի արդիականացումն իրականացվում է՝ հիմք ընդունելով ՀՀ կառավարության 2025 թվականի մայիսի 22-ի N 611-Լ որոշմամբ հաստատված «Մթնոլորտային օդի պահպանության բնագավառում 2025–2030 թվականների համալիր միջոցառումների ծրագիրը» և դրան կից ժամանակացույցը։
Միջազգային չափանիշներին, Առողջապահության համաշխարհային կազմակերպության կողմից սահմանված պահանջներին համապատասխան՝ մարդու առողջության համար հիմնական վնասակար աղտոտիչների չափման և տվյալների իրական ժամանակում հանրությանը ներկայացման նպատակով ՀՀ-ում անհրաժեշտ է ունենալ առնվազն 14 անշարժ և 2 շարժական ավտոմատ դիտակայան։ Դիտակայաններում ստացված չափման տվյալները պետք է անմիջականորեն փոխանցվեն «Հիդրոօդերևութաբանության և մոնիթորինգի կենտրոն» ՊՈԱԿ-ի միասնական տվյալների բազա, որտեղից իրականացվի դրանց նախնական գնահատում և օպերատիվ հրապարակում Շրջակա միջավայրի նախարարության և «Հայհիդրոմետ» ՊՈԱԿ-ի պաշտոնական կայքերում, ինչպես նաև բջջային հավելվածի միջոցով։
Ծրագրով նախատեսվող հիմնական միջոցառումները․
1) Նոր անշարժ ավտոմատ դիտակայանների ձեռքբերում և տեղադրում
Մթնոլորտային օդի որակի մոնիթորինգի համակարգի ավտոմատացման շարունակական զարգացման նպատակով նախատեսվում է նոր դիտակայանների տեղադրում ՀՀ հետևյալ բնակավայրերում․ Գյումրի՝ 1 դիտակայան, Վանաձոր՝ 1 դիտակայան, Ալավերդի՝ 1 դիտակայան, Հրազդան՝ 1 դիտակայան, Արարատ՝ 1 դիտակայան, Կապան՝ 1 դիտակայան, Ծաղկաձոր՝ 1 դիտակայան։
Նշված դիտակայանները կապահովեն Առողջապահության համաշխարհային կազմակերպության կողմից սահմանված հիմնական վնասակար աղտոտիչների չափում և տվյալների իրական ժամանակում հրապարակում։
2) Շարժական ավտոմատ դիտակայանների ձեռքբերում
Մթնոլորտային օդի որակի մոնիթորինգի համակարգը նախատեսվում է համալրել նաև շարժական ավտոմատ դիտակայաններով, որոնք հնարավորություն կտան՝
•	իրականացնել օդի աղտոտվածության ժամանակավոր գնահատում այն բնակավայրերում, որտեղ մշտական դիտակայաններ չկան,
•	արտակարգ իրավիճակների (հրդեհ, պայթյուն, արդյունաբերական վթար և այլն) դեպքում օպերատիվ կերպով տեղակայել դիտակայանը աղտոտման թեժ կետին մոտ և իրական ժամանակում ապահովել բնակչության իրազեկումը։
</t>
  </si>
  <si>
    <t>Ծրագրի չֆինանսավորման դեպքում առաջ կգան հետևյալ խնդիրները․
•	մթնոլորտային օդի որակի մոնիթորինգի գործող համակարգը կշարունակի չհամապատասխանել ՀՀ և միջազգային նորմատիվ պահանջներին,
•	օդի աղտոտվածության իրական մակարդակի վերաբերյալ տվյալները կմնան ոչ ամբողջական և սահմանափակ վստահելիությամբ,
•	կսահմանափակվի օդի աղտոտվածության առողջապահական ռիսկերի վաղ հայտնաբերման հնարավորությունը,
•	կխոչընդոտվի ՀՀ ստանձնած միջազգային պարտավորությունների կատարումը և ԵՄ օրենսդրությանը մոտարկման գործընթացը,
•	արտակարգ իրավիճակների դեպքում կպակասի օպերատիվ արձագանքման և բնակչության իրազեկման արդյունավետ մեխանիզմները,
•	կպահպանվի հանրային դժգոհությունն ու անվստահությունը օդի որակի վերաբերյալ պաշտոնական տվյալների նկատմամբ։</t>
  </si>
  <si>
    <t>Ձեռքբերված և գործարկված անշարժ ավտոմատ դիտակայանների քանակ (միավոր),ակի տվյալներ և գնահատականներ</t>
  </si>
  <si>
    <t>Ձեռքբերված և գործարկված շարժական դիտակայանների քանակ (միավոր),</t>
  </si>
  <si>
    <t>Անշարժ ավտոմատ դիտակայան</t>
  </si>
  <si>
    <t>Շարժական դիտակայան</t>
  </si>
  <si>
    <t>աշխատավարձ (ներկայացրե՛ք, կա՛մ նոր աշխատակիցների ամբողջ աշխատավարձը, կա՛մ առկա աշխատակիցների աշխատավարձի այն մասը, որը ծրագրի իրականացման արդյունքում փոփոխվել է։ Ավելի շատ ուսուցիչներ ներգրավելու դեպքում նրանց աշխատավարձերը բյուջեի համար կլինեն նոր ծախսեր:)</t>
  </si>
  <si>
    <t>ստուգաճշտման ծախսեր</t>
  </si>
  <si>
    <t>կոմունալ վճարներ</t>
  </si>
  <si>
    <t>պահպանման ծախսեր (օրինակ՝ պահեստամասեր):</t>
  </si>
  <si>
    <t>ՏԿԵՆ, ՆԳՆ, Քաղաքաշինության կոմիտե, Կադաստրի կոմիտե</t>
  </si>
  <si>
    <t xml:space="preserve">ՀՀ պետական կառավարման մարմիններ </t>
  </si>
  <si>
    <t xml:space="preserve"> Կառավարության 11․12․2025թ N1816-Ն որոշում,                                                                   Կառավարության 2021 թվականի օգոստոսի 18-ի N 1363-Ա որոշման հավելվածի «4.10 Շրջակա միջավայրի պահպանություն» բաժնի առաջնահերթ ուղղությունից՝ «ջրային ռեսուրսների արդյունավետ օգտագործման և որակի բարձրացման նպատակով կառավարման գերարդյունավետ համակարգերի ներդրումը, ջրային ռեսուրսների պահպանման, այդ թվում` ջրահեռացման ու կեղտաջրերի մաքրման գործընթացի կանոնակարգումը, Արարատյան արտեզյան ավազանի և գետային էկոհամակարգերի պահպանությունն ու կառավարումը»</t>
  </si>
  <si>
    <t>Ծրագրի նպատակն է ջրային ռեսուրսների հուների մաքրումը կենցաղային աղբից, ջրաբերուկներից, տիղմից և բնական հոսքը խոչընդոտող այլ օբյեկտներից՝ ջրային էկոհամակարգերի պահպանության, հեղեղումների կանխարգելման, բնակչության անվտանգության ապահովման և ափերի էրոզիայից պաշտպանության նպատակով</t>
  </si>
  <si>
    <t>Գետերի հուների թվային եռաչափ մոդելավորմամբ ձևավորված ռեեստրի տվյալների, հիդրոօդերևութաբանական կանխատեսումների և իրավասու մարմինների ներկայացրած առաջարկությունների հիման վրա մշակված տարեկան պլանի շրջանակներում առաջնահերթ մաքրման ենթակա գետերում կուտակված աղբի և ջրաբերուկների պարբերաբար հավաքման, հունից դրանց հեռացման և կուտակիչ համակարգերի սպասարկման գործընթացների իրականացում «Գնումների մասին» օրենքի համաձայն ընտրված կապալառու կազմակերպության կողմից՝ դաշտային ուսումնասիրություններ և գույքագրում, նախագծանախահաշվային փաստաթղթերի մշակում, հունի մաքրում,  աղբի ժամանակավոր կուտակում և տեղափոխում, մշտադիտարկում և վերահսկում, ըստ անհրաժեշտության ՝ ափերի ամրացում, կուտակիչ համակարգերի նախագծում և կառուցում, պարբերական սպասարկում</t>
  </si>
  <si>
    <t>Ծրագրի իրականացումից հետո ակնկալվում են հետևյալ արդյունքները. 1. գետերի բնական հոսքի վերականգնում և պահպանում, 2. ջրի որակի  և  ջրային էկոհամակարգերի բարելավում, 3. հեղեղումների, գարնանային վարարումների և սելավների վտանգի նվազեցում, 4. բնակչության կյանքի, առողջության և գույքի անվտանգության բարձրացում, 5. գյուղատնտեսական հողատեսքերի պաշտպանություն</t>
  </si>
  <si>
    <t xml:space="preserve">Ջրային ռեսուրսի հունի մաքրման նոր նախաձեռնությունը չֆինանսավորելու դեպքում կավելանա գետերի հուներում կենցաղային աղբի, ջրաբերուկների և տիղմի կուտակումը, ինչը կխոչընդոտի գետի բնական հոսքը, կհանգեցնի ջրի մակարդակի և հեղեղումներիառաջացման ռիսկի բարձրացմանը, , ափերի էրոզիայի և  գյուղատնտեսական հողատեսքերի։ Նոր նախաձեռնության չֆինանսավորումը կմեծացնի ինչպես բնապահպանական, այնպես էլ սոցիալ-տնտեսական ռիսկերը, որի հետևանքով հետագա տարիներին անհրաժեշտ կլինեն ներդնել զգալիորեն ավելի մեծ ֆինանսական միջոցներ՝ արդեն առաջացած վնասները վերացնելու համար։ </t>
  </si>
  <si>
    <t>Արդյունքային չափորոշիչները ներկայացված են ընդհանրական, դրանք կարող են հստակեցվել միայն մաքրման առաջնահերթ աշխատանքների տարեկան պլանի առկայության պարագայում</t>
  </si>
  <si>
    <t>779529.1 (ներկայացված է ՏԿԵՆ Ջրային կոմիտեի 2026-2028 ՄԺԾԾ հայտում ներառված թվերը, ինչը ենթակա է վերանայման մաքրման առաջնահերթ աշխատանքների տարեկան պլանի առկայության պարագայում)</t>
  </si>
  <si>
    <t>560000.0  (ներկայացված է ՏԿԵՆ Ջրային կոմիտեի 2026-2028 ՄԺԾԾ հայտում ներառված թվերը, ինչը ենթակա է վերանայման մաքրման առաջնահերթ աշխատանքների տարեկան պլանի առկայության պարագայում)</t>
  </si>
  <si>
    <t>Գետերի հուների մաքրման առաջնահերթ հատվածների քարտեզագրում և տարանջատում, այդ թվում՝</t>
  </si>
  <si>
    <t>քարտեզագրված և կոորդինատներով հստակեցված մաքրման ենթակա գետահատվածների քանակ (նպատակ ՀՀ ամբողջ տարածքում)</t>
  </si>
  <si>
    <t xml:space="preserve">առաջնահերթ մաքրման ենթակա հատվածների համար նախագծանախահաշվային փաստաթղթերի կազմում </t>
  </si>
  <si>
    <t>Հաշվարկները մշակման փուլում են</t>
  </si>
  <si>
    <t>ռիսկայնության աստիճանով դասակարգված առաջնահերթ մաքրման ենթակա հատվածների քանակ</t>
  </si>
  <si>
    <t>Գետերի հուների մաքրման աշխատանքների իրականացում, այդ թվում՝</t>
  </si>
  <si>
    <t>մաքրված գետահատվածների երկարություն (կմ)</t>
  </si>
  <si>
    <t>մաքրված հունի ծավալ (խմ)</t>
  </si>
  <si>
    <t>հեռացված կենցաղային աղբի, ջրաբերուկների և բնական հոսքը խոչընդոտող այլ օբյեկտների ծավալ (տոննա/խմ)</t>
  </si>
  <si>
    <t>մաքրված առաջնահերթ գետահատվածների մասնաբաժին (%)</t>
  </si>
  <si>
    <t>մաքրված գետահատվածների ափերի ամրացում (կմ)</t>
  </si>
  <si>
    <t>Տեղորոշված գետահատվածներում աղբի և ջրաբերուկների կուտակիչ համակարգերի նախագծում և կառուցում</t>
  </si>
  <si>
    <t>տեղորոշված գետահատվածների քանակ</t>
  </si>
  <si>
    <t>աղբի և ջրաբերուկների կուտակիչ համակարգերի նախագծանախահաշվային փաստաթղթերի մշակում</t>
  </si>
  <si>
    <t>աղբի և ջրաբերուկների կուտակիչ համակարգերի կառուցում</t>
  </si>
  <si>
    <t>Համաձայն նախագծանախահաշվային փաստաթղթերի</t>
  </si>
  <si>
    <t>«9. Արդյունքային չափորոշիչները» բաժնում ներկայացված են հուների մաքրման գործընթացի համար ընդհանրական արդյունքային չափորոշիչներ, որոնք  կարող են հստակեցվել միայն մաքրման առաջնահերթ աշխատանքների տարեկան պլանի առկայության պարագայում, իսկ «D» և «E» սյունակներում ներկայացված են ՏԿԵՆ Ջրային կոմիտեի 2026-2028 ՄԺԾԾ հայտում ներառված թվերը, ինչը ենթակա է վերանայման մաքրման առաջնահերթ աշխատանքների տարեկան պլանի առկայության պարագայում։ Միաաժամանակ հայտնում եմ, որ շրջակա միջավայրի նախարարությունը մեկնարկել է ջրային ռեսուրսի հունը կենցաղային աղբից, ջրաբերուկներից և բնական հոսքը խոչընդոտող այլ օբյեկտներից մաքրման առաջնահերթ աշխատանքների տարեկան պլանի մշակման աշխատանքները (մինչև մայիսի 15-ը )։ Տարեկան պլանի առկայության դեպքում ներկայացված որդյունքային ցուցանիշները և ֆինանսական միջոցները։</t>
  </si>
  <si>
    <t>Կառավարության 11․12․2025թ N1816-Ն որոշում,   Կառավարության 2021 թվականի օգոստոսի 18-ի N 1363-Ա որոշման հավելվածի «4.10 Շրջակա միջավայրի պահպանություն» բաժնի առաջնահերթ ուղղությունից՝ «ջրային ռեսուրսների արդյունավետ օգտագործման և որակի բարձրացման նպատակով կառավարման գերարդյունավետ համակարգերի ներդրումը, ջրային ռեսուրսների պահպանման, այդ թվում` ջրահեռացման ու կեղտաջրերի մաքրման գործընթացի կանոնակարգումը, Արարատյան արտեզյան ավազանի և գետային էկոհամակարգերի պահպանությունն ու կառավարումը»</t>
  </si>
  <si>
    <t>ընթացիկ</t>
  </si>
  <si>
    <t>Սույն ՄԺԾԾ հայտում որպես հայեցողական պարտավորություն՝ ամրագրված է Որոշմամբ հաստատված, ՀՀ Արագածոտնի, Արարատի, Արմավիրի մարզերում և Երևան քաղաքում գտնվող  և գույքագրման արդյունքում  չանձնագրավորված և գույքագրված բնության հուշարձանների անձնագրավորման աշխատանքների իրականացումը:</t>
  </si>
  <si>
    <t xml:space="preserve">ՀՀ վարչապետի 2018թվականի հունիսի 11-ի «Հայաստանի Հանրապետության շրջակա միջավայրի նախարարության կանոնադրությունը հաստատելու մասին»  N745-Լ որոշում </t>
  </si>
  <si>
    <t xml:space="preserve">Որոշմամբ հաստատված և գույքագրված բնության հուշարձանի անձնագրավորման ենթակա կամ ոչ ենթակա լինելու կամ մասնակի / հատվածավորված (երկրատեղանքների կամ գեոսայթերի տեսքով) ենթակա լինելու վերաբերյալ որոշման </t>
  </si>
  <si>
    <t>Հայաստանի Հանրապետության կառավարության «ՀՀ աշխարհագրական անվանումների հաշվառման գրանցման պետական քարտադարանի ստեղծման և վարման» №502 որոշում,</t>
  </si>
  <si>
    <t xml:space="preserve">Որոշմամբ հաստատված և անձնագրավորման համար առանձնացված ցանկում «Անանուն» անվամբ բնության հուշարձաններին տալ մասնագիտորեն հիմնավորված անվանումներ: </t>
  </si>
  <si>
    <t>«Բնության հատուկ պահպանվող տարածքների մասին» օրենք, Հողային և Քաղաքացիական օրենսգրքեր</t>
  </si>
  <si>
    <t>Առանձնացված և սահմանազատված յուրաքանչյուր բնության հուշարձանի (կամ դրա երկրատեղանքների) զբաղեցրած տարածքները համաձայնեցնել ՀՀ կադաստրի կոմիտեի և համայնքի հետ, որի վարչական սահմաններում գտնվում է տվյալ բնության հուշարձանը կամ դրա երկրատեղանքները: Առանձնացնել մասնավոր սեփականության իրավունքով ծանրաբեռնված հողերից:</t>
  </si>
  <si>
    <t>«Բնության հատուկ պահպանվող տարածքների մասին» օրենք, Հողային և Քաղաքացիական օրենսգրքեր, «Տեղական ինքնակառավարման մասին» օրենք</t>
  </si>
  <si>
    <t>Կապալառու կազմակերպության միջոցով նախատեսվում է կադաստրի կոմիտեի և համապատասխան համայնքների հետ համաձայնեցված բնության հուշարձանների անձնագրերի նախագծերի փաթեթի կազմում՝ հաջորդիվ հաստատելու համար:</t>
  </si>
  <si>
    <t>«Բնության հատուկ պահպանվող տարածքների մասին» օրենք, ՀՀ կառավարության 2008 թվականի օգոստոսի 14-ի №967-Ն որոշում, «Գնումների մասին» ՀՀ օրենք</t>
  </si>
  <si>
    <r>
      <rPr>
        <sz val="9"/>
        <color indexed="8"/>
        <rFont val="GHEA Grapalat"/>
        <family val="3"/>
      </rPr>
      <t>Կապալառու կազմակերպության միջոցով նախատեսվում է կազմել կադաստրի կոմիտեի և համապատասխան համայնքների հետ համաձայնեցված բնության հուշարձանների անձնագրերի նախագծերի փաթեթ, որում յուրաքանչյուր բնության հուշարձանի անձնագրի նախագծում համաձայն «Բնության հատուկ պահպանվող տարածքների մասին» օրենքի 19-րդ հոդվածի 3-րդ մասի՝ պետք է ներառվի.
• անվանումը և դասակարգումը,
• տեղադիրքը և աշխարհագրական կոորդինատները (բնության հուշարձանը երկրատեղանքների տեսքով ներկայացնելու դեպքում՝ յուրաքանչյուր երկրատեղանքի համար),
• նկարագրությունը, չափագրությունը և վիճակը (բնության հուշարձանը երկրատեղանքների տեսքով ներկայացնելու դեպքում՝ յուրաքանչյուր երկրատեղանքի համար),
• սահմանների և պահպանման գոտու նկարագրությունը, մակերեսը, քարտեզ-հատակագիծը (բնության հուշարձանը երկրատեղանքների տեսքով ներկայացնելու դեպքում՝ յուրաքանչյուր երկրատեղանքի համար),
• տվյալնել սեփականատիրոջ և հողօգտագործողի մասին,
• պահպանության և օգտագորման ռեժիմի առնանձնահատկությունները,
• տվյալներ պահպանություն իրականացնող սուբյեկտի մասին
Վերջնական նպատակը՝ ՀՀ Արագածոտնի, Արարատի, Արմավիրի մարզերի և Երևան քաղաքի բնության բնության հուշարձանների անձնագրավորում:</t>
    </r>
    <r>
      <rPr>
        <sz val="9"/>
        <color indexed="10"/>
        <rFont val="GHEA Grapalat"/>
        <family val="3"/>
      </rPr>
      <t xml:space="preserve">
</t>
    </r>
  </si>
  <si>
    <r>
      <rPr>
        <sz val="10"/>
        <rFont val="GHEA Grapalat"/>
        <family val="3"/>
      </rPr>
      <t xml:space="preserve"> Որոշմամբ հաստատված, ՀՀ Արագածոտնի, Արարատի, Արմավիրի մարզերում և Երևանում գտնվող  և գույքագրման արդյունքում  չանձնագրավորված 41 բնության հուշարձաններից դեռևս 34 պահպանված և մասնակի պահպանված բնության հուշարձանների վերաբերյալ հավաքագրված տեղեկատվության հիման վրա՝ Կապալառու կազմակերպության միջոցով.
</t>
    </r>
    <r>
      <rPr>
        <b/>
        <sz val="10"/>
        <rFont val="GHEA Grapalat"/>
        <family val="3"/>
      </rPr>
      <t>1.</t>
    </r>
    <r>
      <rPr>
        <sz val="10"/>
        <rFont val="GHEA Grapalat"/>
        <family val="3"/>
      </rPr>
      <t xml:space="preserve"> դրանցից յուրաքանչյուրի վերաբերյալ հավաքագրել հավելյալ տեղեկատվություն՝ օգտվելով գիտական գրականության աղբյուրներից: Իրականացնել նաև երկրաբանական և տոպոգրաֆիական քարտեզների ուսումնասիրություն,
</t>
    </r>
    <r>
      <rPr>
        <b/>
        <sz val="10"/>
        <rFont val="GHEA Grapalat"/>
        <family val="3"/>
      </rPr>
      <t xml:space="preserve">2. </t>
    </r>
    <r>
      <rPr>
        <sz val="10"/>
        <rFont val="GHEA Grapalat"/>
        <family val="3"/>
      </rPr>
      <t xml:space="preserve">տեղում իրականացնել Որոշմամբ հաստատված բնության հուշարձանների երկրաբանական, ջրաերկրաբանական, բնապատմական և կենսաբանական առանձնահատկությունների ուսումնասիրման աշխատանքներ,
</t>
    </r>
    <r>
      <rPr>
        <b/>
        <sz val="10"/>
        <rFont val="GHEA Grapalat"/>
        <family val="3"/>
      </rPr>
      <t xml:space="preserve">3. </t>
    </r>
    <r>
      <rPr>
        <sz val="10"/>
        <rFont val="GHEA Grapalat"/>
        <family val="3"/>
      </rPr>
      <t>վերոնշյալ երկու կետերով նախատեսված աշխատանքների իրականացման արդյունքում</t>
    </r>
    <r>
      <rPr>
        <b/>
        <sz val="10"/>
        <rFont val="GHEA Grapalat"/>
        <family val="3"/>
      </rPr>
      <t xml:space="preserve"> </t>
    </r>
    <r>
      <rPr>
        <sz val="10"/>
        <rFont val="GHEA Grapalat"/>
        <family val="3"/>
      </rPr>
      <t xml:space="preserve">հավաքագրված տեղեկատվության, ինչպես նաև դաշտային ուսումնասիրություների հիման վրա, Որոշմամբ հաստատված յուրաքանչյուր բնության հուշարձանի համար կազմել մասնագիտորեն հիմնավորված առաջարկ՝ դրանց անձնագրավորման ենթակա կամ ոչ ենթակա լինելու կամ մասնակի / հատվածավորված (երկրատեղանքների կամ գեոսայթերի տեսքով) ենթակա լինելու վերաբերյալ` ներառելով համապատասխան թեմատիկ քարտեզագրական տեղեկատվություն,
</t>
    </r>
    <r>
      <rPr>
        <b/>
        <sz val="10"/>
        <rFont val="GHEA Grapalat"/>
        <family val="3"/>
      </rPr>
      <t xml:space="preserve">4. </t>
    </r>
    <r>
      <rPr>
        <sz val="10"/>
        <rFont val="GHEA Grapalat"/>
        <family val="3"/>
      </rPr>
      <t xml:space="preserve"> Որոշմամբ հաստատված և անձնագրավորման համար առանձնացված ցանկում «Անանուն» անվամբ բնության հուշարձաններին տալ մասնագիտորեն հիմնավորված անվանումներ՝ Հայաստանի Հանրապետության կառավարության «ՀՀ աշխարհագրական անվանումների հաշվառման գրանցման պետական քարտադարանի ստեղծման և վարման» №502 որոշմամբ հաստատված կարգի պահանջներին համապատասխան,
</t>
    </r>
    <r>
      <rPr>
        <b/>
        <sz val="10"/>
        <rFont val="GHEA Grapalat"/>
        <family val="3"/>
      </rPr>
      <t>5.</t>
    </r>
    <r>
      <rPr>
        <sz val="10"/>
        <rFont val="GHEA Grapalat"/>
        <family val="3"/>
      </rPr>
      <t xml:space="preserve"> հստակեցնել և չափագրել Որոշմամբ հաստատված բնության հուշարձանների տարածքները՝ անհրաժեշտ տեխնիկական սարքավորումներով իրականացնել անձնագրավորման ենթակա բնության հուշարձանների դաշտային չափագրումներ սահմանազատելով դրանց երկրաբանական, ջրաերկրաբանական, բնապատմական կամ կենսաբանական տեսանկյունից հիմնավորված պահպանման գոտիները,
</t>
    </r>
    <r>
      <rPr>
        <b/>
        <sz val="10"/>
        <rFont val="GHEA Grapalat"/>
        <family val="3"/>
      </rPr>
      <t>6.</t>
    </r>
    <r>
      <rPr>
        <sz val="10"/>
        <rFont val="GHEA Grapalat"/>
        <family val="3"/>
      </rPr>
      <t xml:space="preserve"> առանձնացված և սահմանազատված յուրաքանչյուր բնության հուշարձանի (կամ դրա երկրատեղանքների) զբաղեցրած տարածքները համաձայնեցնել ՀՀ կադաստրի կոմիտեի և համայնքի հետ, որի վարչական սահմաններում գտնվում է տվյալ բնության հուշարձանը կամ դրա երկրատեղանքները: Առանձնացնել մասնավոր սեփականության իրավունքով ծանրաբեռնված հողերից, ինչպես նաև հավաքագրել տեղեկատվություն՝ հողամասերի օգտագործման այլ սահմանափակումների վերաբերյալ (առկայության դեպքում),
</t>
    </r>
    <r>
      <rPr>
        <b/>
        <sz val="10"/>
        <rFont val="GHEA Grapalat"/>
        <family val="3"/>
      </rPr>
      <t>7.</t>
    </r>
    <r>
      <rPr>
        <sz val="10"/>
        <rFont val="GHEA Grapalat"/>
        <family val="3"/>
      </rPr>
      <t xml:space="preserve"> ճշգրտել և վերջնականացնել անձնագրավորման ենթակա բնության հուշարձանների տարածքների սահմանները՝ դրանցում բացառելով մասնավոր սեփականության իրավունքով ծանրաբեռնված հողամասերը և ընդգրկելով սեփականության իրավունքի պետական գրանցման, ինչպես նաև հողի նպատակային և գործառնական նշանակության փոփոխման ենթակա հողամասերը
</t>
    </r>
  </si>
  <si>
    <r>
      <rPr>
        <sz val="10"/>
        <color indexed="8"/>
        <rFont val="GHEA Grapalat"/>
        <family val="3"/>
      </rPr>
      <t xml:space="preserve">   Արագածոտնի, Արարատի, Արմավիրի մարզերում և Երևանում գտնվող բնության հուշարձանների անձնագրերի մշակման և հաստատման արդյունքում՝ կսահմանվի դրանց  գիտական նկարագրությունը, սահմանների նկարագիրը, աշխարհագրական կոորդինատները, հատակագիծը, պահպանության և օգտագործման ռեժիմի առանձնահատկությունները, կհստակեցվի հողօգտագործողների ինչպես նաև պահպանությունն իրականացնող սուբյեկտների շրջանակը: Արդյունքում՝ բնության հուշարձանների շուրջ կստեղծվի նաև զբոսաշրջային ծառայությունների կազմակերպման հնարավորություն, այդ թվում՝ զբոսաշրջային կլաստերներում ներգրավելու և դրանց շուրջ ներդրումային միջավայր ձևավորելու:
</t>
    </r>
    <r>
      <rPr>
        <sz val="9"/>
        <color indexed="10"/>
        <rFont val="GHEA Grapalat"/>
        <family val="3"/>
      </rPr>
      <t xml:space="preserve">
</t>
    </r>
  </si>
  <si>
    <r>
      <t xml:space="preserve">   ՀՀ կառավարության 2008 թվականի օգոստոսի 14-ի N967-Ն որոշմամբ հաստատված, ՀՀ Արագածոտնի, Արարատի, Արմավիրի մարզերում և Երևան քաղաքում գտնվող  և գույքագրման արդյունքում  չանձնագրավորված 41</t>
    </r>
    <r>
      <rPr>
        <sz val="10"/>
        <color indexed="8"/>
        <rFont val="GHEA Grapalat"/>
        <family val="3"/>
      </rPr>
      <t xml:space="preserve"> բնության հուշարձաններից դեռևս 34  պահպանված և մասնակի պահպանված հուշարձան  չի անձնագրավորվի, հետևապես,  որպես բնության հատուկ պահպանվող տարածք կշարունակի մնալ առանց հստակ սահմանների և առանց պահպանության և օգտագործման ռեժիմի: </t>
    </r>
    <r>
      <rPr>
        <sz val="10"/>
        <rFont val="GHEA Grapalat"/>
        <family val="3"/>
      </rPr>
      <t>Արդյունքում՝ որպես գիտական և զբոսաշրջային արժեք ներկայացնող բնական ժառանգություն՝ ՀՀ Արագածոտնի, Արարատի, Արմավիրի մարզերում և Երևան քաղաքում արդեն իսկ չպահպանված 4 բնության հուշարձանների օրինակով՝ կշարունակի ենթարկվել չկառավարվող մարդածին և բնածին ազդեցության՝ կորցնելով իր բնական, գեղագիտական, գիտաճանաճողական և զբոսաշրջային արժեքը:</t>
    </r>
  </si>
  <si>
    <t xml:space="preserve"> ՀՀ Արագածոտնի, Արարատի, Արմավիրի մարզերում և Երևանում անձնագրավորման ենթակա բնության հուշարձանների ուսումնասիրություն</t>
  </si>
  <si>
    <t>քանակ/հատ</t>
  </si>
  <si>
    <t xml:space="preserve"> ՀՀ Արագածոտնի, Արարատի, Արմավիրի մարզերում և Երևանում բնության հուշարձանների անձնագրերի նախագծերի ներկայացում</t>
  </si>
  <si>
    <t xml:space="preserve"> ՀՀ պետական բյուջեից ֆինանսավորում՝ դրամաշնորհի տեսքով
</t>
  </si>
  <si>
    <t>2027թ. հայտի տարբերությունը 2026թ. հաստատվածի նկատմամբ պայմանավորված է 
 աշխատավարձի ֆոնդի վերանայմամբ</t>
  </si>
  <si>
    <t xml:space="preserve">Արտասահմանյան գործուղումների` Կապված այն հանգամանքով, որ 2026 թվականի հոկտեմբերից Հայաստանը ստանձնելու է 2027-2028 թվականներին ՄԱԿ-ի «Կենսաբանական բազմազանության մասին» կոնվենցիայի Կողմերի համաժողովի նախագահությունը, 2027-2028 թվականներին  ակնկալվում է նախագահության ակտիվ ներգրավվածություն միջազգայի գործընթացներին և օտարերկրյա պետություններում անցկացվող բազմաթիվ հանդիպումներին։ </t>
  </si>
  <si>
    <r>
      <rPr>
        <sz val="7"/>
        <rFont val="GHEA Grapalat"/>
        <family val="3"/>
      </rPr>
      <t>Շրջակա միջավայրի նախարարության աշխատակազմի պահպանման ծախսեր:
Հաստիքային միավորների թիվը՝ 215:</t>
    </r>
    <r>
      <rPr>
        <sz val="7"/>
        <color rgb="FFFF0000"/>
        <rFont val="GHEA Grapalat"/>
        <family val="3"/>
      </rPr>
      <t xml:space="preserve">
</t>
    </r>
    <r>
      <rPr>
        <sz val="7"/>
        <rFont val="GHEA Grapalat"/>
        <family val="3"/>
      </rPr>
      <t>2026թ․ համեմատ նախատեսված ավելացումները պայմանավորված են՝</t>
    </r>
    <r>
      <rPr>
        <sz val="7"/>
        <color rgb="FFFF0000"/>
        <rFont val="GHEA Grapalat"/>
        <family val="3"/>
      </rPr>
      <t xml:space="preserve">
</t>
    </r>
    <r>
      <rPr>
        <sz val="7"/>
        <rFont val="GHEA Grapalat"/>
        <family val="3"/>
      </rPr>
      <t>1) 2027թ. հայտի տարբերությունը 2026թ. հաստատվածի նկատմամբ պայմանավորված է 
 աշխատավարձի ֆոնդի վերանայմամբ, քանի որ  համաձայն ՖՆ մեթոդաբանության ֆոնդը հաշվարկվում է 13 ամսվա կտրվածքով, սակայն միջին ամսական աշխատավարձի բարձրացումով պայմանավորված /օրինակ՝ ղեկավար պաշտոնների և գլխավոր քարտուղարի ամենամսյա վճարումները 4112-ից, 2025 թվականի դեկտեմբերի 4-ի N 1763-Ն որոշման համաձայն տրված պարգևավճարները , տնտեսված միջոցներից տրվող պարգևավճարները  և այլն/,  արձակուրդի տրամադրման ժամանակ   միանվագ տրվող գումարները գերազանցում են 1 ամսվա աշխատավարձի ֆոնդը ։ Ուստի առաջարկվում է վերանայել ֆոնդը՝ հաշվարկել նվազագույնը 14 ամսվա կտրվացքով։ 
2026 թվականին բազային բյուջեի նկատմամն կրճատումը պայմանավորված է եղել ընդհանուր բյուջետային հայտի 4%-ի չափով կրճատման սցենարով, ինչը 2027-2029թթ ՄԺԾԾ-ում հաշվարկվել է 2026 թվականի բազային բյուջեի նկառմամբ։</t>
    </r>
    <r>
      <rPr>
        <sz val="7"/>
        <color rgb="FFFF0000"/>
        <rFont val="GHEA Grapalat"/>
        <family val="3"/>
      </rPr>
      <t xml:space="preserve">
</t>
    </r>
    <r>
      <rPr>
        <sz val="7"/>
        <rFont val="GHEA Grapalat"/>
        <family val="3"/>
      </rPr>
      <t xml:space="preserve">2) </t>
    </r>
    <r>
      <rPr>
        <b/>
        <sz val="7"/>
        <rFont val="GHEA Grapalat"/>
        <family val="3"/>
      </rPr>
      <t>էլ․էներգիայի</t>
    </r>
    <r>
      <rPr>
        <sz val="7"/>
        <rFont val="GHEA Grapalat"/>
        <family val="3"/>
      </rPr>
      <t>՝ 5 մլն դրամ (Պայմանավորված է օդորակիչների, կենցաղային սարքերի, սերվերների քանակի ավելացմամբ, սերվերային համակարգերի շուրջօրյա աշխատանքն ապահովելու նպատակով օդափոխության համակարգի ներդրմամբ),</t>
    </r>
    <r>
      <rPr>
        <sz val="7"/>
        <color rgb="FF000000"/>
        <rFont val="GHEA Grapalat"/>
        <family val="3"/>
      </rPr>
      <t xml:space="preserve">
</t>
    </r>
    <r>
      <rPr>
        <sz val="7"/>
        <rFont val="GHEA Grapalat"/>
        <family val="3"/>
      </rPr>
      <t>3) արտասահմանյան գործուղումների՝ 21.8 մլն․դրամ, ներքին գործուղումներ՝  580.0 հազար դրամ։</t>
    </r>
    <r>
      <rPr>
        <sz val="7"/>
        <color rgb="FF000000"/>
        <rFont val="GHEA Grapalat"/>
        <family val="3"/>
      </rPr>
      <t xml:space="preserve">
4) </t>
    </r>
    <r>
      <rPr>
        <b/>
        <sz val="7"/>
        <color rgb="FF000000"/>
        <rFont val="GHEA Grapalat"/>
        <family val="3"/>
      </rPr>
      <t>Կապի ծառայությունների</t>
    </r>
    <r>
      <rPr>
        <sz val="7"/>
        <color rgb="FF000000"/>
        <rFont val="GHEA Grapalat"/>
        <family val="3"/>
      </rPr>
      <t xml:space="preserve">՝ 3.8 մլն դրամ, համաձայն հաշվարկի,
</t>
    </r>
    <r>
      <rPr>
        <b/>
        <sz val="7"/>
        <color rgb="FF000000"/>
        <rFont val="GHEA Grapalat"/>
        <family val="3"/>
      </rPr>
      <t>5</t>
    </r>
    <r>
      <rPr>
        <sz val="7"/>
        <color rgb="FF000000"/>
        <rFont val="GHEA Grapalat"/>
        <family val="3"/>
      </rPr>
      <t xml:space="preserve">) </t>
    </r>
    <r>
      <rPr>
        <b/>
        <sz val="7"/>
        <color rgb="FF000000"/>
        <rFont val="GHEA Grapalat"/>
        <family val="3"/>
      </rPr>
      <t>Համակարգչային ծառայությունների</t>
    </r>
    <r>
      <rPr>
        <sz val="7"/>
        <color rgb="FF000000"/>
        <rFont val="GHEA Grapalat"/>
        <family val="3"/>
      </rPr>
      <t xml:space="preserve">՝ -79.2 հազար դրամ։ ՀԾ-2027թ-ից սահմանվել է ՀԾ-Ձեռնարկություն համակարգի մեկ աշխատողի նոր սպասարկման գումար՝ նախկին 24000 դրամի փոխարեն 25800 դրամ` գրությունը և պայմանագիրը կցվում է։
*(7(օգտահաշիվ)x25800x12=2167.2+սպասարկում 101.4x12ամիս=1216.7 ընդհանուր 3384.0 հազար դրամ)
</t>
    </r>
    <r>
      <rPr>
        <b/>
        <sz val="7"/>
        <color rgb="FF000000"/>
        <rFont val="GHEA Grapalat"/>
        <family val="3"/>
      </rPr>
      <t>6) Ներքին աուդիտի ծառայությունների</t>
    </r>
    <r>
      <rPr>
        <sz val="7"/>
        <color rgb="FF000000"/>
        <rFont val="GHEA Grapalat"/>
        <family val="3"/>
      </rPr>
      <t xml:space="preserve"> համար նախատեսված է՝ 999.999.9 հազար դրամ 2027թ. պայմանագրի վճարման համար, քանի որ այդ մասով պայմանագիրը կնքված է պայմանով, իսկ 3000.0 հազար դրամ 2027թ. համար, ինչի մեջ ընդգրկված չի լինելու 2028 թվականի պայմանով կնքված պայմանագրի մասը: 
</t>
    </r>
    <r>
      <rPr>
        <b/>
        <sz val="7"/>
        <color rgb="FF000000"/>
        <rFont val="GHEA Grapalat"/>
        <family val="3"/>
      </rPr>
      <t>8) Մեքենաների և սարքավորումների ընթացիկ նորոգում և պահպանում`</t>
    </r>
    <r>
      <rPr>
        <sz val="7"/>
        <color rgb="FF000000"/>
        <rFont val="GHEA Grapalat"/>
        <family val="3"/>
      </rPr>
      <t xml:space="preserve"> Կառավարության 2025 թվականի ապրիլի 23-ի «Տրանսպորտային միջոցներ հետ վերցնելու և ամրացնելու մասին» №483-Ա որոշման Հավելված №2-ի ցանկի 16-րդ կետով շրջակա միջավայրի նախարարությանն է ամրացվել 2024 թվականի արտադրության Volvo EX40 BEV (Battery Electric Vehicle) մակնիշի 240 HQ 61 պետհամարանիշով ավտոմեքենա` hամաձայն հաշվարկի:
9) </t>
    </r>
    <r>
      <rPr>
        <b/>
        <sz val="7"/>
        <color rgb="FF000000"/>
        <rFont val="GHEA Grapalat"/>
        <family val="3"/>
      </rPr>
      <t>Տրանսպորտային նյութեր`</t>
    </r>
    <r>
      <rPr>
        <sz val="7"/>
        <color rgb="FF000000"/>
        <rFont val="GHEA Grapalat"/>
        <family val="3"/>
      </rPr>
      <t xml:space="preserve"> Կառավարության 2025 թվականի ապրիլի 23-ի «Տրանսպորտային միջոցներ հետ վերցնելու և ամրացնելու մասին» №483-Ա որոշման Հավելված №2-ի ցանկի 16-րդ կետով շրջակա միջավայրի նախարարությանն է ամրացվել 2024 թվականի արտադրության Volvo EX40 BEV (Battery Electric Vehicle) մակնիշի 240 HQ 61 պետհամարանիշով ավտոմեքենա` hամաձայն հաշվարկի:
</t>
    </r>
    <r>
      <rPr>
        <b/>
        <sz val="7"/>
        <color rgb="FF000000"/>
        <rFont val="GHEA Grapalat"/>
        <family val="3"/>
      </rPr>
      <t/>
    </r>
  </si>
  <si>
    <t>Էկոպարեկային ծառայության պահպանման ծախսերի նվազ ֆինանսավորում</t>
  </si>
  <si>
    <t>Անտառային և բնության հատուկ պահպանվող տարածքների պահպանության ցածր մակարդակ, անտառհատումների և որսագողության դեպքերի աճ:</t>
  </si>
  <si>
    <t>Ֆինանսական ծախսերի ավելացում` աշխատողների աշխատավարձի բարձրացման, տրանսպորտային և այլ տեխնիկական միջոցներով ապահովման նպատակով։</t>
  </si>
  <si>
    <t>Անդամավճարի ապահովում,։</t>
  </si>
  <si>
    <t>Կառավարության և ՄԱԿ-ի «Կենսաբանական բազմազանության մասին» կոնվենցիայի քարտուղարության միջև ստորագրված համաձայնագրով Բնության պահպանության միջազգային միությանը՝ (IUCN) անդամակցության համար նախատեսված տարեկան անդամավճարի նախատեսման, հայտի ներկայացում</t>
  </si>
  <si>
    <t>անդամավճարի ապահովում</t>
  </si>
  <si>
    <t xml:space="preserve">Անդամավճարները վճռորոշ նշանակություն ունեն IUCN-ի գործունեության ֆինանսավորման համար՝ աջակցելով Միության ծրագրերի իրականացմանն ու կառավարմանը, գլոբալ գործընկերային ցանցերի ձևավորմանն ու հաղորդակցությանը, ինչպես նաև գիտելիքի և փորձի փոխանակմանը։ </t>
  </si>
  <si>
    <r>
      <t>Երևույթի հանդես գալու հավանականությունը</t>
    </r>
    <r>
      <rPr>
        <vertAlign val="superscript"/>
        <sz val="8"/>
        <color theme="1"/>
        <rFont val="GHEA Grapalat"/>
        <family val="3"/>
      </rPr>
      <t>41</t>
    </r>
  </si>
  <si>
    <t xml:space="preserve">Հիդրոօդերևութաբանական և շրջակա միջավայրի դիտացանցի արդիականացման, թվայնացման և ավտոմատացման ֆինանսական հնարավորությունների բացակայություն </t>
  </si>
  <si>
    <t>Հասարակությանը, պետական կառավարման մարմիններին, տարածքային կառավարման և տեղական ինքնակառավարման մարմիններին, իրավաբանական և ֆիզիկական անձանց, ավիացիային,գյուղատնտեսության, բնապահպանության, էներգետիկայի, առողջապահության,տրանսպորտի բնագավառներին,տնտեսավարող սուբյեկտներին մատուցվող հիդրոօդերևութաբանական և շրջակա միջավայրի մոնիթորինգի տվյալներով սպասարկման որակազրկում, հիդրոօդերևութաբանական վտանգավոր երևույթներից և կլիմայական ռիսկերից բնակչության և տնտեսության ոչ բավարար պաշտպանություն Մոնիթորինգի ծրագրերի անհրաժեշտ ծավալով չիրականացում:
Կարճաժամկետ կանխատեսումների իրականացման համար անհրաժեշտ տվյալների բացակայություն, կդիտվի վտանգավոր օդեևրութաբանական երևույթների կանխատեսման արդարացվածության աստիճանի նվազում։</t>
  </si>
  <si>
    <t>Կադրերի հոսունությունը.</t>
  </si>
  <si>
    <t>Արդյունքային ցուցանիշների որակի վաթտարացում, վատագույն դեպքում նաև չիրականացում:</t>
  </si>
  <si>
    <t>Աշխատանքներին և մասնագիտական հմտություններին համարժեք վարձատրություն</t>
  </si>
  <si>
    <t>Գների և սակագների բարձրացման կանխարգելում, բյուջետային հատկացումների ավելացում, նոր նախաձեռնությունների խրախուսում;                                                                     Մոնիթորինգը ամբողջ ծավալով իրականացնելու համար համարժեք ֆինանսավորման ապահովում սարքավորումների և դիտակայանների ձեռքբերման և պահպանման համար, 
Վերջին տարիներին ձեռք բերված ավտոմատ օդերևութաբանական կայաններից օդերևութաբանական տվյալները ստանալու և շահառուներին տրամադրելու համար անհրաժեշտ է համապատասխան տեխնիկական սպասարկում, պահեստային տվիչների ձեռքբերում ստուգաճշտման լաբորատորիայի ձեռքբերում</t>
  </si>
  <si>
    <t xml:space="preserve">  «Շրջակա միջավայրի վրա ազդեցության գնահատում և մոնիթորինգ» ծրագրի գծով ծախսերի նվազ ֆինանսավորման հիմնական ռիսկերը․</t>
  </si>
  <si>
    <t>4211.Տարբերությունները պայմանավորված են մարզային կառույցների համալրմամբ
4212.ՀՀ կառավարության 2024թ. Սեպտեմբերի 26-ի N 1501-Ն որոշման համաձայն կատարողականի գնահատման արդյունքներով էկոպարեկային ծառայողները ևս պարգևատրում են ստանում:
4215.20.02.2026թ. դրությամբ ծառայության հաշվեկշռում հաշվառված են 80 ավտոմեքենաներ, ներկայումս միջազգային ծրագրերով արդեն իսկ հաստատվել է ևս 42 ավտոմեքենայի ձեռքբերում:
4221. Նախատեսվում է ընթացիկ տարում ավարտել ծառայության բոլոր մարզային ստորաբաժանումների համալրումը,  անհրածեշտ է պահպանել 2026 թվականի համար հաստատված ծախսերի չափաքանակը
4261.Շրջակա միջավայրի նախարարի 2024 թ սեպտեմբերի 16-ի  N 370-Լ հրամանով   համազգեստի օգտագործման ժամկետը սահմանվել է 1 տարի, 2027 թվականին ենթակա է փոխարինման:
4264.142 ավտոմեքենաներ իրականացնում են շուրջօրյա հերթապահություն,1 ավտոմեքենայի օրական ծախսը կազմում է միջինը 25-30 լիտր դիզելային վառելանյութ/ միջինը հաշվարկվել է  26.1 լիտր* 30 օր*12ամիս*500դրամ= 4700 հազ դրամ *142 ավտոմեքենա = 667400 հազ դրամ</t>
  </si>
  <si>
    <t>Միջոցառումը 1173 ծրագրից տեղափոխվել է 1071 ծրագիր, ինչը պայմանավորված է այն հանգամանքով, որ միջոցառումը չի առնչվում «Անտառների կառավարում» ծրագրին և այն ավելի լայն միջոցառում է։ Միջոցառման ծրագրային փոփոխությամբ նախատեսվում է բարձրացնել նաև միջոցառման կառավարման արդյունավետությանը։</t>
  </si>
  <si>
    <t>Միջոցառումը 1173 ծրագրից տեղափոխվել է 1071 ծրագիր, ինչը պայմանավորված է այն հանգամանքով, որ միջոցառումը չի առնչվում «Անտառների կառավարում» ծրագրին և այն ավելի լայն միջոցառում է։ Միջոցառման ծրագրային փոփոխությամբ նախատեսվում է բարձրացնել նաև միջոցառման կառավարման արդյունավետությանը։ Առաջարկվող փոփոխությունը կապված է «Էկոպարեկային ծառայություն» միջոցառման ծրագրի փոփոխությամբ</t>
  </si>
  <si>
    <t>Կոլումբիայում 2024 թվականի հոկտեմբերին կայացած ՄԱԿ-ի «Կենսաբանական բազմազանության մասին» կոնվենցիայի 16-րդ համաժողովի որոծմամբ 2026 թվականին ՀՀ-ն կհյուրընկալի հաջորդ համաժողովը (COP17)` ստանձնելով  նախագահությունը մինչև 2028 թվականը։ Նշված համատեքստում կենսաբազմազանության պահպանությանը վերաբերող բոլոր գործընթացները կարևորվում է, հաատկապես միջաազգային ոլորտում։ 
Համաշխարհային բնապահպանական օրակարգում առանցքային դեր է խաղում Բնության պահպանության միջազգային միությունը (IUCN), որին ՀՀ-ն պետական մակարդակով անդամակցել է 2025 թվականից։ IUCN-ի անդամակցության համար նախատեսված է տարեկան անդամավճար։</t>
  </si>
  <si>
    <t>Բնության պահպանության միջազգային միությանը (IUCN) անդամակցության համար նախատեսված է տարեկան անդամավճար։</t>
  </si>
  <si>
    <t>Ծառայությունը ներկայումս գտնվում է ձևավորման փուլում, այդ թվում մարզային վարչությունների և դրանց տեղամասերի շենքային պայմաններով ապահովման փուլում, ինչը հնարավոր չի լինի իրականացնել  1047,2 հազար դրամի կրճատման պայմաններում: Այն էական խոչընդոտ կհանդիսանա Ծառայության բնականոն աշխատանքի կազմակերպմանը, մասնավորապես մարզային ստորաբաժանումների տեղակայման, աշխատանքային պատշաճ  պայմանների (այդ թվում օրենսդրությամբ սահմանված չափանիշներին համապատասխան զինանոց) ապահովման մասով:
1.422.200.000 ՀՀ դրամ, որը նախատեսված է արդյունագործական որսի իրականացման նպատակով մուտքի և ելքի համար 25 հենակետերի կառուցման, 4 մարզային վարչության և 9 տեղամասերի վերանորոգման համար։</t>
  </si>
  <si>
    <t>767.373.400 ՀՀ դրամ, որը նախատեսված է 38 հատ ռադիոհաղորդիչ կայանների, Սևանա լճում արդյունագործական որսի իրականացման նպատակով մուտքի և ելքի համար 25 հենակետերի կահավորման՝ 25 հատ տեսանկարահանման համակարգի  և 25 հատ կշեռքի, հատուկ և անհատական պաշտպանության միջոցների, 12 տեղամասերի համար գրասենյակային գույքի և համակարգչային տեխնիկայի ձեռքբերման համար</t>
  </si>
  <si>
    <t xml:space="preserve"> ԿԱՊԻՏԱԼ ԾԱԽՍԵՐ</t>
  </si>
  <si>
    <t xml:space="preserve"> - Կապիտալ դրամաշնորհներ պետական և համայնքների ոչ առևտրային կազմակերպություններին</t>
  </si>
  <si>
    <t>Նոր նախաձեռնություններ</t>
  </si>
  <si>
    <t>Բնության պահպանության միջազգային միությանը (IUCN) անդամակցելու շրջակա միջավայրի նախարարության պարտավորության կատարում</t>
  </si>
  <si>
    <t xml:space="preserve"> - ընթացիկ ծախսեր</t>
  </si>
  <si>
    <t>Անդամավճարները վճռորոշ նշանակություն ունեն IUCN-ի գործունեության ֆինանսավորման համար՝ աջակցելով Միության ծրագրերի իրականացմանն ու կառավարմանը, գլոբալ գործընկերային ցանցերի ձևավորմանն ու հաղորդակցությանը, ինչպես նաև գիտելիքի և փորձի փոխանակմանը</t>
  </si>
  <si>
    <t>ՀՀ Արագածոտնի, Արարատի, Արմավիրի մարզերի և Երևան քաղաքի բնության բնության հուշարձանների անձնագրավորում:</t>
  </si>
  <si>
    <t xml:space="preserve">Կոլումբիայում 2024 թվականի հոկտեմբերին կայացած ՄԱԿ-ի «Կենսաբանական բազմազանության մասին»  կոնվենցիայի (այսուհետ՝ Կոնվենցիա) կողմերի 16-րդ համաժողովի որոշմամբ 2026 թվականին Հայաստանի Հանրապետությունը կհյուրընկալի հաջորդ համաժողովը՝ ստանձնելով Կոնվենցիայի նախագահությունը մինչև 2028 թվականը։ Նշված համատեքստում կենսաբազմազանության պահպանությանը վերաբերող բոլոր գործընթացների կարևորությունը բարձրանում է, հատկապես՝ միջազգային համագործակցության ոլորտում։
Համաշխարհային բնապահպանական օրակարգում առանցքային դեր է խաղում Բնության պահպանության միջազգային միությունը (այսուհետ՝ IUCN), որին Հայաստանի Հանրապետությունը պետական մակարդակով անդամակցել է 2025 թվականից, ինչի վերաբերյալ Հայաստանի գրությունը (№1/ԼԽ/10240 գրության պատճենը կցվում է) քարտուղարությանն ուղղվել է 2025 թվականի սեպտեմբերի 10-ին։ IUCN-ին անդամակցության համար նախատեսված է տարեկան անդամավճար։ Հայաստանի համար 2025 թվականին տարեկան անդամավճարը կազմել էր 7790 շվեյցարական ֆրանկ՝ համաձայն IUCN-ի անդամավճարների ուղեցույցի (https://iucn.org/sites/default/files/2024-01/membership-dues-guide-dec-update-2023-en-final.pdf?utm_source=chatgpt.com) հաշվարկի։ 2025 թվականի հոկտեմբերի 15-ին IUCN համաշխարհային պահպանության կոնգրեսում հաստատվել է IUCN-ի անդամավճարների թարմացված ուղեցույցը (https://iucn.org/sites/default/files/2025-11/iucn-membership-dues-guide-from-2026_en_final_v.31oct2025.pdf), համաձայն ինչի սկսած 2026 թվականից Հայաստանի համար տարեկան անդամավճարը կազմելու է 8273 շվեյցարական ֆրանկ:
</t>
  </si>
  <si>
    <t>նոր նախաձեռնություններ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</si>
</sst>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3" formatCode="_(* #,##0.00_);_(* \(#,##0.00\);_(* &quot;-&quot;??_);_(@_)"/>
    <numFmt numFmtId="164" formatCode="##,##0.0;\(##,##0.0\);\-"/>
    <numFmt numFmtId="165" formatCode="_(* #,##0.0_);_(* \(#,##0.0\);_(* &quot;-&quot;??_);_(@_)"/>
    <numFmt numFmtId="166" formatCode="#,##0.0"/>
    <numFmt numFmtId="167" formatCode="0.0"/>
    <numFmt numFmtId="168" formatCode="_-* #,##0.0_р_._-;\-* #,##0.0_р_._-;_-* &quot;-&quot;??_р_._-;_-@_-"/>
    <numFmt numFmtId="169" formatCode="0.000"/>
    <numFmt numFmtId="170" formatCode="_(* #,##0.000_);_(* \(#,##0.000\);_(* &quot;-&quot;??_);_(@_)"/>
    <numFmt numFmtId="171" formatCode="#,##0.000"/>
    <numFmt numFmtId="172" formatCode="#,##0.0000"/>
    <numFmt numFmtId="173" formatCode="_(* #,##0_);_(* \(#,##0\);_(* &quot;-&quot;??_);_(@_)"/>
    <numFmt numFmtId="174" formatCode="0.0_);\(0.0\)"/>
  </numFmts>
  <fonts count="132">
    <font>
      <sz val="11"/>
      <color theme="1"/>
      <name val="Calibri"/>
      <family val="2"/>
      <scheme val="minor"/>
    </font>
    <font>
      <b/>
      <sz val="12"/>
      <color theme="1"/>
      <name val="GHEA Grapalat"/>
      <family val="3"/>
    </font>
    <font>
      <sz val="8"/>
      <color rgb="FF000000"/>
      <name val="GHEA Grapalat"/>
      <family val="3"/>
    </font>
    <font>
      <i/>
      <sz val="8"/>
      <color rgb="FF000000"/>
      <name val="GHEA Grapalat"/>
      <family val="3"/>
    </font>
    <font>
      <i/>
      <sz val="8"/>
      <color theme="1"/>
      <name val="GHEA Grapalat"/>
      <family val="3"/>
    </font>
    <font>
      <b/>
      <sz val="8"/>
      <color theme="1"/>
      <name val="GHEA Grapalat"/>
      <family val="3"/>
    </font>
    <font>
      <vertAlign val="superscript"/>
      <sz val="11"/>
      <color theme="1"/>
      <name val="Calibri"/>
      <family val="2"/>
      <scheme val="minor"/>
    </font>
    <font>
      <sz val="8"/>
      <color theme="1"/>
      <name val="GHEA Grapalat"/>
      <family val="3"/>
    </font>
    <font>
      <vertAlign val="superscript"/>
      <sz val="8"/>
      <color theme="1"/>
      <name val="GHEA Grapalat"/>
      <family val="3"/>
    </font>
    <font>
      <b/>
      <i/>
      <sz val="12"/>
      <color theme="1"/>
      <name val="GHEA Grapalat"/>
      <family val="3"/>
    </font>
    <font>
      <sz val="10"/>
      <color theme="1"/>
      <name val="GHEA Grapalat"/>
      <family val="3"/>
    </font>
    <font>
      <sz val="11"/>
      <color theme="1"/>
      <name val="GHEA Grapalat"/>
      <family val="3"/>
    </font>
    <font>
      <b/>
      <sz val="10"/>
      <color theme="1"/>
      <name val="GHEA Grapalat"/>
      <family val="3"/>
    </font>
    <font>
      <sz val="9"/>
      <color theme="1"/>
      <name val="GHEA Grapalat"/>
      <family val="3"/>
    </font>
    <font>
      <vertAlign val="superscript"/>
      <sz val="9"/>
      <color theme="1"/>
      <name val="GHEA Grapalat"/>
      <family val="3"/>
    </font>
    <font>
      <i/>
      <sz val="9"/>
      <color theme="1"/>
      <name val="GHEA Grapalat"/>
      <family val="3"/>
    </font>
    <font>
      <b/>
      <sz val="10"/>
      <color rgb="FF002060"/>
      <name val="GHEA Grapalat"/>
      <family val="3"/>
    </font>
    <font>
      <b/>
      <sz val="8"/>
      <color rgb="FF002060"/>
      <name val="GHEA Grapalat"/>
      <family val="3"/>
    </font>
    <font>
      <vertAlign val="superscript"/>
      <sz val="8"/>
      <color rgb="FF000000"/>
      <name val="GHEA Grapalat"/>
      <family val="3"/>
    </font>
    <font>
      <vertAlign val="superscript"/>
      <sz val="10"/>
      <color theme="1"/>
      <name val="GHEA Grapalat"/>
      <family val="3"/>
    </font>
    <font>
      <sz val="11"/>
      <color rgb="FFFF0000"/>
      <name val="Calibri"/>
      <family val="2"/>
      <scheme val="minor"/>
    </font>
    <font>
      <sz val="8"/>
      <color rgb="FFFF0000"/>
      <name val="GHEA Grapalat"/>
      <family val="3"/>
    </font>
    <font>
      <b/>
      <i/>
      <sz val="12"/>
      <color rgb="FFFF0000"/>
      <name val="GHEA Grapalat"/>
      <family val="3"/>
    </font>
    <font>
      <sz val="10"/>
      <name val="Arial"/>
      <family val="2"/>
    </font>
    <font>
      <sz val="11"/>
      <color theme="1"/>
      <name val="Calibri"/>
      <family val="2"/>
      <scheme val="minor"/>
    </font>
    <font>
      <i/>
      <sz val="11"/>
      <color rgb="FFFF0000"/>
      <name val="Calibri"/>
      <family val="2"/>
      <scheme val="minor"/>
    </font>
    <font>
      <i/>
      <sz val="11"/>
      <color theme="1"/>
      <name val="Calibri"/>
      <family val="2"/>
      <scheme val="minor"/>
    </font>
    <font>
      <sz val="8"/>
      <name val="GHEA Grapalat"/>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Armenian"/>
      <family val="2"/>
    </font>
    <font>
      <b/>
      <sz val="10"/>
      <name val="GHEA Grapalat"/>
      <family val="3"/>
    </font>
    <font>
      <sz val="11"/>
      <name val="Calibri"/>
      <family val="2"/>
      <scheme val="minor"/>
    </font>
    <font>
      <b/>
      <i/>
      <sz val="12"/>
      <name val="GHEA Grapalat"/>
      <family val="3"/>
    </font>
    <font>
      <sz val="8"/>
      <name val="GHEA Grapalat"/>
      <family val="3"/>
    </font>
    <font>
      <b/>
      <vertAlign val="superscript"/>
      <sz val="10"/>
      <name val="GHEA Grapalat"/>
      <family val="3"/>
    </font>
    <font>
      <i/>
      <sz val="11"/>
      <name val="Calibri"/>
      <family val="2"/>
      <scheme val="minor"/>
    </font>
    <font>
      <vertAlign val="superscript"/>
      <sz val="8"/>
      <name val="GHEA Grapalat"/>
      <family val="3"/>
    </font>
    <font>
      <sz val="11"/>
      <name val="GHEA Grapalat"/>
      <family val="3"/>
    </font>
    <font>
      <b/>
      <sz val="11"/>
      <name val="GHEA Grapalat"/>
      <family val="3"/>
    </font>
    <font>
      <i/>
      <sz val="11"/>
      <name val="GHEA Grapalat"/>
      <family val="3"/>
    </font>
    <font>
      <sz val="11"/>
      <color rgb="FF000000"/>
      <name val="GHEA Grapalat"/>
      <family val="3"/>
    </font>
    <font>
      <b/>
      <sz val="11"/>
      <color rgb="FF000000"/>
      <name val="GHEA Grapalat"/>
      <family val="3"/>
    </font>
    <font>
      <b/>
      <sz val="11"/>
      <color theme="1"/>
      <name val="GHEA Grapalat"/>
      <family val="3"/>
    </font>
    <font>
      <sz val="11"/>
      <color rgb="FF000000"/>
      <name val="Calibri"/>
      <family val="2"/>
    </font>
    <font>
      <i/>
      <sz val="11"/>
      <color theme="1"/>
      <name val="GHEA Grapalat"/>
      <family val="3"/>
    </font>
    <font>
      <b/>
      <i/>
      <sz val="9"/>
      <color rgb="FFFF0000"/>
      <name val="GHEA Grapalat"/>
      <family val="3"/>
    </font>
    <font>
      <i/>
      <sz val="9"/>
      <color rgb="FFFF0000"/>
      <name val="GHEA Grapalat"/>
      <family val="3"/>
    </font>
    <font>
      <i/>
      <sz val="8"/>
      <color rgb="FFFF0000"/>
      <name val="GHEA Grapalat"/>
      <family val="3"/>
    </font>
    <font>
      <sz val="9"/>
      <color rgb="FFFF0000"/>
      <name val="GHEA Grapalat"/>
      <family val="3"/>
    </font>
    <font>
      <b/>
      <i/>
      <sz val="10"/>
      <color rgb="FFFF0000"/>
      <name val="GHEA Grapalat"/>
      <family val="3"/>
    </font>
    <font>
      <vertAlign val="superscript"/>
      <sz val="11"/>
      <name val="GHEA Grapalat"/>
      <family val="3"/>
    </font>
    <font>
      <sz val="9"/>
      <name val="GHEA Grapalat"/>
      <family val="3"/>
    </font>
    <font>
      <b/>
      <i/>
      <sz val="9"/>
      <name val="GHEA Grapalat"/>
      <family val="3"/>
    </font>
    <font>
      <i/>
      <sz val="9"/>
      <name val="GHEA Grapalat"/>
      <family val="3"/>
    </font>
    <font>
      <i/>
      <sz val="8"/>
      <name val="GHEA Grapalat"/>
      <family val="3"/>
    </font>
    <font>
      <vertAlign val="superscript"/>
      <sz val="11"/>
      <color theme="1"/>
      <name val="GHEA Grapalat"/>
      <family val="3"/>
    </font>
    <font>
      <b/>
      <sz val="9"/>
      <color theme="1"/>
      <name val="GHEA Grapalat"/>
      <family val="3"/>
    </font>
    <font>
      <sz val="10"/>
      <name val="GHEA Grapalat"/>
      <family val="3"/>
    </font>
    <font>
      <b/>
      <vertAlign val="superscript"/>
      <sz val="10"/>
      <color theme="1"/>
      <name val="GHEA Grapalat"/>
      <family val="3"/>
    </font>
    <font>
      <sz val="8"/>
      <color rgb="FF000000"/>
      <name val="Tahoma"/>
      <family val="2"/>
    </font>
    <font>
      <vertAlign val="superscript"/>
      <sz val="12"/>
      <color theme="1"/>
      <name val="GHEA Grapalat"/>
      <family val="3"/>
    </font>
    <font>
      <sz val="14"/>
      <color theme="1"/>
      <name val="GHEA Grapalat"/>
      <family val="3"/>
    </font>
    <font>
      <i/>
      <sz val="10"/>
      <color theme="1"/>
      <name val="GHEA Grapalat"/>
      <family val="3"/>
    </font>
    <font>
      <sz val="8"/>
      <color theme="1"/>
      <name val="Calibri"/>
      <family val="2"/>
      <scheme val="minor"/>
    </font>
    <font>
      <sz val="11"/>
      <color theme="1"/>
      <name val="Timse"/>
    </font>
    <font>
      <sz val="10"/>
      <color rgb="FFFF0000"/>
      <name val="Calibri"/>
      <family val="2"/>
      <scheme val="minor"/>
    </font>
    <font>
      <i/>
      <sz val="10"/>
      <color theme="1"/>
      <name val="Calibri"/>
      <family val="2"/>
      <scheme val="minor"/>
    </font>
    <font>
      <i/>
      <sz val="10"/>
      <color rgb="FFFF0000"/>
      <name val="Calibri"/>
      <family val="2"/>
      <scheme val="minor"/>
    </font>
    <font>
      <i/>
      <sz val="10"/>
      <name val="GHEA Grapalat"/>
      <family val="3"/>
    </font>
    <font>
      <b/>
      <i/>
      <sz val="10"/>
      <name val="GHEA Grapalat"/>
      <family val="3"/>
    </font>
    <font>
      <sz val="10"/>
      <color rgb="FFFF0000"/>
      <name val="GHEA Grapalat"/>
      <family val="3"/>
    </font>
    <font>
      <i/>
      <sz val="10"/>
      <color rgb="FFFF0000"/>
      <name val="GHEA Grapalat"/>
      <family val="3"/>
    </font>
    <font>
      <sz val="10"/>
      <name val="Calibri"/>
      <family val="2"/>
      <scheme val="minor"/>
    </font>
    <font>
      <u/>
      <sz val="11"/>
      <color theme="10"/>
      <name val="Calibri"/>
      <family val="2"/>
      <scheme val="minor"/>
    </font>
    <font>
      <i/>
      <sz val="9"/>
      <color rgb="FF000000"/>
      <name val="GHEA Grapalat"/>
      <family val="3"/>
    </font>
    <font>
      <b/>
      <sz val="10"/>
      <color rgb="FF000000"/>
      <name val="GHEA Grapalat"/>
      <family val="3"/>
    </font>
    <font>
      <b/>
      <sz val="8"/>
      <name val="GHEA Grapalat"/>
      <family val="3"/>
    </font>
    <font>
      <b/>
      <sz val="9"/>
      <color rgb="FF000000"/>
      <name val="GHEA Grapalat"/>
      <family val="3"/>
    </font>
    <font>
      <sz val="10"/>
      <color theme="1"/>
      <name val="Calibri"/>
      <family val="2"/>
      <scheme val="minor"/>
    </font>
    <font>
      <b/>
      <i/>
      <sz val="8"/>
      <color theme="1"/>
      <name val="GHEA Grapalat"/>
      <family val="3"/>
    </font>
    <font>
      <b/>
      <i/>
      <sz val="8"/>
      <name val="GHEA Grapalat"/>
      <family val="3"/>
    </font>
    <font>
      <b/>
      <sz val="11"/>
      <name val="Calibri"/>
      <family val="2"/>
      <scheme val="minor"/>
    </font>
    <font>
      <sz val="12"/>
      <color rgb="FFFF0000"/>
      <name val="GHEA Grapalat"/>
      <family val="3"/>
    </font>
    <font>
      <sz val="12"/>
      <color theme="1"/>
      <name val="GHEA Grapalat"/>
      <family val="3"/>
    </font>
    <font>
      <b/>
      <u/>
      <sz val="11"/>
      <name val="Calibri"/>
      <family val="2"/>
      <scheme val="minor"/>
    </font>
    <font>
      <b/>
      <sz val="10"/>
      <color rgb="FFFF0000"/>
      <name val="GHEA Grapalat"/>
      <family val="3"/>
    </font>
    <font>
      <sz val="8"/>
      <name val="Calibri"/>
      <family val="2"/>
      <scheme val="minor"/>
    </font>
    <font>
      <sz val="7"/>
      <color rgb="FF000000"/>
      <name val="GHEA Grapalat"/>
      <family val="3"/>
    </font>
    <font>
      <sz val="7"/>
      <color rgb="FFFF0000"/>
      <name val="GHEA Grapalat"/>
      <family val="3"/>
    </font>
    <font>
      <sz val="7"/>
      <name val="GHEA Grapalat"/>
      <family val="3"/>
    </font>
    <font>
      <b/>
      <sz val="7"/>
      <name val="GHEA Grapalat"/>
      <family val="3"/>
    </font>
    <font>
      <b/>
      <sz val="7"/>
      <color rgb="FF000000"/>
      <name val="GHEA Grapalat"/>
      <family val="3"/>
    </font>
    <font>
      <b/>
      <sz val="8"/>
      <color rgb="FF000000"/>
      <name val="GHEA Grapalat"/>
      <family val="3"/>
    </font>
    <font>
      <sz val="8"/>
      <color indexed="8"/>
      <name val="GHEA Grapalat"/>
      <family val="3"/>
    </font>
    <font>
      <sz val="8"/>
      <color indexed="10"/>
      <name val="GHEA Grapalat"/>
      <family val="3"/>
    </font>
    <font>
      <b/>
      <i/>
      <sz val="9"/>
      <color rgb="FF000000"/>
      <name val="GHEA Grapalat"/>
      <family val="3"/>
    </font>
    <font>
      <b/>
      <sz val="10"/>
      <color theme="1"/>
      <name val="Arial AM"/>
      <family val="2"/>
    </font>
    <font>
      <b/>
      <sz val="12"/>
      <color theme="1"/>
      <name val="Calibri"/>
      <family val="2"/>
      <scheme val="minor"/>
    </font>
    <font>
      <sz val="8"/>
      <color theme="1"/>
      <name val="Calibri"/>
      <family val="2"/>
    </font>
    <font>
      <u/>
      <sz val="9"/>
      <color theme="1"/>
      <name val="GHEA Grapalat"/>
      <family val="3"/>
    </font>
    <font>
      <sz val="9"/>
      <color theme="1"/>
      <name val="Calibri"/>
      <family val="2"/>
      <scheme val="minor"/>
    </font>
    <font>
      <b/>
      <u/>
      <sz val="12"/>
      <color theme="1"/>
      <name val="GHEA Grapalat"/>
      <family val="3"/>
    </font>
    <font>
      <b/>
      <sz val="9"/>
      <name val="GHEA Grapalat"/>
      <family val="3"/>
    </font>
    <font>
      <b/>
      <vertAlign val="superscript"/>
      <sz val="9"/>
      <color theme="1"/>
      <name val="GHEA Grapalat"/>
      <family val="3"/>
    </font>
    <font>
      <b/>
      <i/>
      <sz val="9"/>
      <color theme="1"/>
      <name val="GHEA Grapalat"/>
      <family val="3"/>
    </font>
    <font>
      <b/>
      <sz val="12"/>
      <name val="GHEA Grapalat"/>
      <family val="3"/>
    </font>
    <font>
      <u/>
      <sz val="10"/>
      <color indexed="12"/>
      <name val="Times Armenian"/>
      <family val="1"/>
    </font>
    <font>
      <b/>
      <sz val="9"/>
      <color theme="1"/>
      <name val="Calibri"/>
      <family val="2"/>
      <scheme val="minor"/>
    </font>
    <font>
      <sz val="9"/>
      <name val="Calibri"/>
      <family val="2"/>
      <scheme val="minor"/>
    </font>
    <font>
      <b/>
      <i/>
      <sz val="10"/>
      <color theme="1"/>
      <name val="GHEA Grapalat"/>
      <family val="3"/>
    </font>
    <font>
      <sz val="9"/>
      <color indexed="8"/>
      <name val="GHEA Grapalat"/>
      <family val="3"/>
    </font>
    <font>
      <sz val="9"/>
      <color indexed="10"/>
      <name val="GHEA Grapalat"/>
      <family val="3"/>
    </font>
    <font>
      <sz val="10"/>
      <color indexed="8"/>
      <name val="GHEA Grapalat"/>
      <family val="3"/>
    </font>
    <font>
      <b/>
      <sz val="9"/>
      <color theme="1"/>
      <name val="GHEA Grapalat"/>
      <family val="3"/>
      <charset val="204"/>
    </font>
    <font>
      <b/>
      <sz val="11"/>
      <color theme="1"/>
      <name val="Calibri"/>
      <family val="2"/>
      <charset val="204"/>
      <scheme val="minor"/>
    </font>
    <font>
      <b/>
      <sz val="11"/>
      <color rgb="FFFF0000"/>
      <name val="GHEA Grapalat"/>
      <family val="3"/>
    </font>
    <font>
      <b/>
      <sz val="10"/>
      <color theme="9"/>
      <name val="GHEA Grapalat"/>
      <family val="3"/>
    </font>
    <font>
      <b/>
      <i/>
      <sz val="12"/>
      <color theme="9"/>
      <name val="GHEA Grapalat"/>
      <family val="3"/>
    </font>
  </fonts>
  <fills count="48">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2"/>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rgb="FFFFFF00"/>
        <bgColor indexed="64"/>
      </patternFill>
    </fill>
    <fill>
      <patternFill patternType="solid">
        <fgColor rgb="FF92D050"/>
        <bgColor indexed="64"/>
      </patternFill>
    </fill>
    <fill>
      <patternFill patternType="solid">
        <fgColor rgb="FFFFEDC9"/>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indexed="64"/>
      </left>
      <right style="thin">
        <color indexed="64"/>
      </right>
      <top/>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auto="1"/>
      </right>
      <top style="thin">
        <color auto="1"/>
      </top>
      <bottom/>
      <diagonal/>
    </border>
    <border>
      <left style="thin">
        <color auto="1"/>
      </left>
      <right/>
      <top/>
      <bottom/>
      <diagonal/>
    </border>
    <border>
      <left/>
      <right style="thin">
        <color indexed="64"/>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auto="1"/>
      </left>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style="thin">
        <color auto="1"/>
      </top>
      <bottom/>
      <diagonal/>
    </border>
    <border>
      <left/>
      <right style="thin">
        <color auto="1"/>
      </right>
      <top style="medium">
        <color indexed="64"/>
      </top>
      <bottom style="thin">
        <color auto="1"/>
      </bottom>
      <diagonal/>
    </border>
    <border>
      <left style="thin">
        <color auto="1"/>
      </left>
      <right/>
      <top style="thin">
        <color auto="1"/>
      </top>
      <bottom style="medium">
        <color auto="1"/>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s>
  <cellStyleXfs count="66">
    <xf numFmtId="0" fontId="0" fillId="0" borderId="0"/>
    <xf numFmtId="0" fontId="23" fillId="0" borderId="0"/>
    <xf numFmtId="0" fontId="24" fillId="15" borderId="29" applyNumberFormat="0" applyFont="0" applyAlignment="0" applyProtection="0"/>
    <xf numFmtId="0" fontId="27" fillId="0" borderId="0">
      <alignment horizontal="left" vertical="top" wrapText="1"/>
    </xf>
    <xf numFmtId="0" fontId="28" fillId="0" borderId="0" applyNumberFormat="0" applyFill="0" applyBorder="0" applyAlignment="0" applyProtection="0"/>
    <xf numFmtId="0" fontId="29" fillId="0" borderId="22" applyNumberFormat="0" applyFill="0" applyAlignment="0" applyProtection="0"/>
    <xf numFmtId="0" fontId="30" fillId="0" borderId="23" applyNumberFormat="0" applyFill="0" applyAlignment="0" applyProtection="0"/>
    <xf numFmtId="0" fontId="31" fillId="0" borderId="24" applyNumberFormat="0" applyFill="0" applyAlignment="0" applyProtection="0"/>
    <xf numFmtId="0" fontId="31" fillId="0" borderId="0" applyNumberFormat="0" applyFill="0" applyBorder="0" applyAlignment="0" applyProtection="0"/>
    <xf numFmtId="0" fontId="32" fillId="9" borderId="0" applyNumberFormat="0" applyBorder="0" applyAlignment="0" applyProtection="0"/>
    <xf numFmtId="0" fontId="33" fillId="10" borderId="0" applyNumberFormat="0" applyBorder="0" applyAlignment="0" applyProtection="0"/>
    <xf numFmtId="0" fontId="34" fillId="11" borderId="0" applyNumberFormat="0" applyBorder="0" applyAlignment="0" applyProtection="0"/>
    <xf numFmtId="0" fontId="35" fillId="12" borderId="25" applyNumberFormat="0" applyAlignment="0" applyProtection="0"/>
    <xf numFmtId="0" fontId="36" fillId="13" borderId="26" applyNumberFormat="0" applyAlignment="0" applyProtection="0"/>
    <xf numFmtId="0" fontId="37" fillId="13" borderId="25" applyNumberFormat="0" applyAlignment="0" applyProtection="0"/>
    <xf numFmtId="0" fontId="38" fillId="0" borderId="27" applyNumberFormat="0" applyFill="0" applyAlignment="0" applyProtection="0"/>
    <xf numFmtId="0" fontId="39" fillId="14" borderId="28" applyNumberFormat="0" applyAlignment="0" applyProtection="0"/>
    <xf numFmtId="0" fontId="20" fillId="0" borderId="0" applyNumberFormat="0" applyFill="0" applyBorder="0" applyAlignment="0" applyProtection="0"/>
    <xf numFmtId="0" fontId="40" fillId="0" borderId="0" applyNumberFormat="0" applyFill="0" applyBorder="0" applyAlignment="0" applyProtection="0"/>
    <xf numFmtId="0" fontId="41" fillId="0" borderId="30" applyNumberFormat="0" applyFill="0" applyAlignment="0" applyProtection="0"/>
    <xf numFmtId="0" fontId="42"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42" fillId="19" borderId="0" applyNumberFormat="0" applyBorder="0" applyAlignment="0" applyProtection="0"/>
    <xf numFmtId="0" fontId="42" fillId="20"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42" fillId="23" borderId="0" applyNumberFormat="0" applyBorder="0" applyAlignment="0" applyProtection="0"/>
    <xf numFmtId="0" fontId="42" fillId="24"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42" fillId="27" borderId="0" applyNumberFormat="0" applyBorder="0" applyAlignment="0" applyProtection="0"/>
    <xf numFmtId="0" fontId="42" fillId="28"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42" fillId="31" borderId="0" applyNumberFormat="0" applyBorder="0" applyAlignment="0" applyProtection="0"/>
    <xf numFmtId="0" fontId="42" fillId="32"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42" fillId="35" borderId="0" applyNumberFormat="0" applyBorder="0" applyAlignment="0" applyProtection="0"/>
    <xf numFmtId="0" fontId="42" fillId="36"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42" fillId="39" borderId="0" applyNumberFormat="0" applyBorder="0" applyAlignment="0" applyProtection="0"/>
    <xf numFmtId="164" fontId="27" fillId="0" borderId="0" applyFill="0" applyBorder="0" applyProtection="0">
      <alignment horizontal="right" vertical="top"/>
    </xf>
    <xf numFmtId="0" fontId="24" fillId="15" borderId="29"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43" fontId="43" fillId="0" borderId="0" applyFont="0" applyFill="0" applyBorder="0" applyAlignment="0" applyProtection="0"/>
    <xf numFmtId="43" fontId="24" fillId="0" borderId="0" applyFont="0" applyFill="0" applyBorder="0" applyAlignment="0" applyProtection="0"/>
    <xf numFmtId="43" fontId="57" fillId="0" borderId="0" applyFont="0" applyFill="0" applyBorder="0" applyAlignment="0" applyProtection="0"/>
    <xf numFmtId="0" fontId="87" fillId="0" borderId="0" applyNumberFormat="0" applyFill="0" applyBorder="0" applyAlignment="0" applyProtection="0"/>
    <xf numFmtId="0" fontId="23" fillId="0" borderId="0"/>
    <xf numFmtId="0" fontId="24" fillId="0" borderId="0"/>
    <xf numFmtId="0" fontId="24" fillId="0" borderId="0"/>
    <xf numFmtId="0" fontId="120" fillId="0" borderId="0" applyNumberFormat="0" applyFill="0" applyBorder="0" applyAlignment="0" applyProtection="0">
      <alignment vertical="top"/>
      <protection locked="0"/>
    </xf>
  </cellStyleXfs>
  <cellXfs count="1025">
    <xf numFmtId="0" fontId="0" fillId="0" borderId="0" xfId="0"/>
    <xf numFmtId="0" fontId="0" fillId="0" borderId="0" xfId="0" applyAlignment="1">
      <alignment horizontal="justify" vertical="center"/>
    </xf>
    <xf numFmtId="0" fontId="12" fillId="0" borderId="0" xfId="0" applyFont="1" applyAlignment="1">
      <alignment vertical="center"/>
    </xf>
    <xf numFmtId="0" fontId="4" fillId="0" borderId="0" xfId="0" applyFont="1" applyBorder="1" applyAlignment="1">
      <alignment horizontal="center" vertical="center" wrapText="1"/>
    </xf>
    <xf numFmtId="0" fontId="16" fillId="7" borderId="0" xfId="0" applyFont="1" applyFill="1" applyAlignment="1">
      <alignment vertical="center"/>
    </xf>
    <xf numFmtId="0" fontId="17" fillId="7" borderId="0" xfId="0" applyFont="1" applyFill="1" applyBorder="1" applyAlignment="1">
      <alignment vertical="center"/>
    </xf>
    <xf numFmtId="0" fontId="5" fillId="7" borderId="0" xfId="0" applyFont="1" applyFill="1" applyBorder="1" applyAlignment="1">
      <alignment vertical="center"/>
    </xf>
    <xf numFmtId="0" fontId="10" fillId="0" borderId="0" xfId="0" applyFont="1" applyAlignment="1">
      <alignment vertical="center"/>
    </xf>
    <xf numFmtId="0" fontId="3" fillId="6" borderId="1" xfId="0" applyFont="1" applyFill="1" applyBorder="1" applyAlignment="1">
      <alignment vertical="center" wrapText="1"/>
    </xf>
    <xf numFmtId="0" fontId="0" fillId="6" borderId="1" xfId="0" applyFill="1" applyBorder="1" applyAlignment="1">
      <alignment vertical="top" wrapText="1"/>
    </xf>
    <xf numFmtId="0" fontId="3"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7" fillId="5" borderId="1" xfId="0" applyFont="1" applyFill="1" applyBorder="1" applyAlignment="1">
      <alignment horizontal="center" vertical="center"/>
    </xf>
    <xf numFmtId="0" fontId="4" fillId="6" borderId="1" xfId="0" applyFont="1" applyFill="1" applyBorder="1" applyAlignment="1">
      <alignment vertical="center" wrapText="1"/>
    </xf>
    <xf numFmtId="0" fontId="7" fillId="6" borderId="1" xfId="0" applyFont="1" applyFill="1" applyBorder="1" applyAlignment="1">
      <alignment vertical="center" wrapText="1"/>
    </xf>
    <xf numFmtId="0" fontId="7" fillId="2" borderId="1" xfId="0" applyFont="1" applyFill="1" applyBorder="1" applyAlignment="1">
      <alignment horizontal="center" vertical="center" wrapText="1"/>
    </xf>
    <xf numFmtId="0" fontId="9" fillId="0" borderId="0" xfId="0" applyFont="1" applyAlignment="1">
      <alignment vertical="center"/>
    </xf>
    <xf numFmtId="0" fontId="1" fillId="0" borderId="0" xfId="0" applyFont="1" applyAlignment="1">
      <alignment vertical="center"/>
    </xf>
    <xf numFmtId="0" fontId="7" fillId="2" borderId="1" xfId="0" applyFont="1" applyFill="1" applyBorder="1" applyAlignment="1">
      <alignment vertical="center" textRotation="90" wrapText="1"/>
    </xf>
    <xf numFmtId="0" fontId="4" fillId="6" borderId="6" xfId="0" applyFont="1" applyFill="1" applyBorder="1" applyAlignment="1">
      <alignment vertical="center" wrapText="1"/>
    </xf>
    <xf numFmtId="0" fontId="7" fillId="5" borderId="7"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0" borderId="0" xfId="0" applyFont="1" applyBorder="1" applyAlignment="1">
      <alignment vertical="center"/>
    </xf>
    <xf numFmtId="0" fontId="13" fillId="5" borderId="1"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11" fillId="5" borderId="1" xfId="0" applyFont="1" applyFill="1" applyBorder="1" applyAlignment="1">
      <alignment vertical="center" wrapText="1"/>
    </xf>
    <xf numFmtId="0" fontId="7" fillId="8" borderId="1" xfId="0" applyFont="1" applyFill="1" applyBorder="1" applyAlignment="1">
      <alignment vertical="center" textRotation="90" wrapText="1"/>
    </xf>
    <xf numFmtId="0" fontId="7" fillId="8" borderId="14" xfId="0" applyFont="1" applyFill="1" applyBorder="1" applyAlignment="1">
      <alignment vertical="center" textRotation="90" wrapText="1"/>
    </xf>
    <xf numFmtId="0" fontId="7" fillId="8" borderId="15" xfId="0" applyFont="1" applyFill="1" applyBorder="1" applyAlignment="1">
      <alignment vertical="center" textRotation="90" wrapText="1"/>
    </xf>
    <xf numFmtId="0" fontId="7" fillId="5" borderId="14" xfId="0" applyFont="1" applyFill="1" applyBorder="1" applyAlignment="1">
      <alignment horizontal="center" vertical="center" wrapText="1"/>
    </xf>
    <xf numFmtId="0" fontId="7" fillId="6" borderId="15"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16" xfId="0" applyFont="1" applyFill="1" applyBorder="1" applyAlignment="1">
      <alignment horizontal="center" vertical="center" wrapText="1"/>
    </xf>
    <xf numFmtId="0" fontId="7" fillId="5" borderId="17"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7" fillId="6" borderId="14" xfId="0" applyFont="1" applyFill="1" applyBorder="1" applyAlignment="1">
      <alignment horizontal="center" vertical="center" wrapText="1"/>
    </xf>
    <xf numFmtId="49" fontId="2" fillId="2" borderId="14" xfId="0" applyNumberFormat="1" applyFont="1" applyFill="1" applyBorder="1" applyAlignment="1">
      <alignment horizontal="center" vertical="center" wrapText="1"/>
    </xf>
    <xf numFmtId="0" fontId="4" fillId="6" borderId="14" xfId="0" applyFont="1" applyFill="1" applyBorder="1" applyAlignment="1">
      <alignment vertical="center" wrapText="1"/>
    </xf>
    <xf numFmtId="0" fontId="4" fillId="6" borderId="19" xfId="0" applyFont="1" applyFill="1" applyBorder="1" applyAlignment="1">
      <alignment vertical="center" wrapText="1"/>
    </xf>
    <xf numFmtId="49" fontId="2"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7" xfId="0" applyFont="1" applyFill="1" applyBorder="1" applyAlignment="1">
      <alignment horizontal="left" vertical="center" wrapText="1"/>
    </xf>
    <xf numFmtId="0" fontId="7" fillId="5" borderId="1" xfId="0" applyFont="1" applyFill="1" applyBorder="1" applyAlignment="1">
      <alignment horizontal="center" vertical="center" wrapText="1"/>
    </xf>
    <xf numFmtId="0" fontId="7" fillId="2" borderId="1" xfId="0" applyFont="1" applyFill="1" applyBorder="1" applyAlignment="1">
      <alignment horizontal="center" vertical="center" textRotation="90" wrapText="1"/>
    </xf>
    <xf numFmtId="49" fontId="2" fillId="2" borderId="1" xfId="0" applyNumberFormat="1"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2" borderId="7" xfId="0" applyFont="1" applyFill="1" applyBorder="1" applyAlignment="1">
      <alignment horizontal="left" vertical="center" wrapText="1"/>
    </xf>
    <xf numFmtId="0" fontId="7" fillId="5" borderId="1" xfId="0" applyFont="1" applyFill="1" applyBorder="1" applyAlignment="1">
      <alignment horizontal="center" vertical="center" wrapText="1"/>
    </xf>
    <xf numFmtId="0" fontId="7" fillId="2" borderId="15" xfId="0" applyFont="1" applyFill="1" applyBorder="1" applyAlignment="1">
      <alignment vertical="center" textRotation="90" wrapText="1"/>
    </xf>
    <xf numFmtId="0" fontId="7" fillId="2" borderId="1" xfId="0" applyFont="1" applyFill="1" applyBorder="1" applyAlignment="1">
      <alignment horizontal="center" vertical="center" textRotation="90" wrapText="1"/>
    </xf>
    <xf numFmtId="0" fontId="20" fillId="0" borderId="0" xfId="0" applyFont="1"/>
    <xf numFmtId="0" fontId="21" fillId="2" borderId="1" xfId="0" applyFont="1" applyFill="1" applyBorder="1" applyAlignment="1">
      <alignment horizontal="center" vertical="center" wrapText="1"/>
    </xf>
    <xf numFmtId="0" fontId="20" fillId="0" borderId="0" xfId="0" applyFont="1" applyFill="1"/>
    <xf numFmtId="0" fontId="22" fillId="0" borderId="0" xfId="0" applyFont="1" applyAlignment="1">
      <alignment vertical="center"/>
    </xf>
    <xf numFmtId="0" fontId="7" fillId="2" borderId="9" xfId="0" applyFont="1" applyFill="1" applyBorder="1" applyAlignment="1">
      <alignment horizontal="center" vertical="center" wrapText="1"/>
    </xf>
    <xf numFmtId="0" fontId="7" fillId="6" borderId="7"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25" fillId="0" borderId="0" xfId="0" applyFont="1"/>
    <xf numFmtId="0" fontId="26" fillId="0" borderId="0" xfId="0" applyFont="1"/>
    <xf numFmtId="0" fontId="0" fillId="0" borderId="0" xfId="0" applyAlignment="1"/>
    <xf numFmtId="0" fontId="44" fillId="0" borderId="0" xfId="0" applyFont="1" applyAlignment="1">
      <alignment vertical="center"/>
    </xf>
    <xf numFmtId="0" fontId="45" fillId="0" borderId="0" xfId="0" applyFont="1" applyAlignment="1"/>
    <xf numFmtId="0" fontId="45" fillId="0" borderId="0" xfId="0" applyFont="1"/>
    <xf numFmtId="0" fontId="46" fillId="0" borderId="0" xfId="0" applyFont="1" applyAlignment="1">
      <alignment vertical="center"/>
    </xf>
    <xf numFmtId="0" fontId="49" fillId="0" borderId="0" xfId="0" applyFont="1"/>
    <xf numFmtId="49" fontId="47" fillId="2" borderId="14" xfId="0" applyNumberFormat="1" applyFont="1" applyFill="1" applyBorder="1" applyAlignment="1">
      <alignment horizontal="center" vertical="center" wrapText="1"/>
    </xf>
    <xf numFmtId="49" fontId="47" fillId="2" borderId="1" xfId="0" applyNumberFormat="1" applyFont="1" applyFill="1" applyBorder="1" applyAlignment="1">
      <alignment horizontal="center" vertical="center" wrapText="1"/>
    </xf>
    <xf numFmtId="0" fontId="47" fillId="2" borderId="1" xfId="0" applyFont="1" applyFill="1" applyBorder="1" applyAlignment="1">
      <alignment vertical="center" textRotation="90" wrapText="1"/>
    </xf>
    <xf numFmtId="0" fontId="7" fillId="2"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11" fillId="0" borderId="0" xfId="0" applyFont="1"/>
    <xf numFmtId="0" fontId="11" fillId="0" borderId="0" xfId="0" applyFont="1" applyAlignment="1">
      <alignment horizontal="left"/>
    </xf>
    <xf numFmtId="0" fontId="13" fillId="0" borderId="0" xfId="0" applyFont="1"/>
    <xf numFmtId="0" fontId="51" fillId="0" borderId="0" xfId="0" applyFont="1" applyAlignment="1">
      <alignment horizontal="left" vertical="top" wrapText="1"/>
    </xf>
    <xf numFmtId="0" fontId="52" fillId="0" borderId="0" xfId="0" applyFont="1" applyAlignment="1">
      <alignment horizontal="center" vertical="center" wrapText="1"/>
    </xf>
    <xf numFmtId="0" fontId="51" fillId="0" borderId="0" xfId="0" applyFont="1" applyFill="1"/>
    <xf numFmtId="1" fontId="51" fillId="0" borderId="0" xfId="0" applyNumberFormat="1" applyFont="1" applyFill="1" applyAlignment="1" applyProtection="1">
      <alignment horizontal="center" vertical="center"/>
      <protection locked="0"/>
    </xf>
    <xf numFmtId="165" fontId="11" fillId="0" borderId="0" xfId="59" applyNumberFormat="1" applyFont="1" applyFill="1" applyAlignment="1" applyProtection="1">
      <alignment horizontal="left" vertical="center" wrapText="1"/>
    </xf>
    <xf numFmtId="165" fontId="11" fillId="0" borderId="0" xfId="59" applyNumberFormat="1" applyFont="1" applyFill="1" applyAlignment="1" applyProtection="1">
      <alignment horizontal="center" vertical="center"/>
    </xf>
    <xf numFmtId="165" fontId="11" fillId="0" borderId="0" xfId="59" applyNumberFormat="1" applyFont="1" applyFill="1" applyAlignment="1" applyProtection="1">
      <alignment horizontal="center" vertical="center" wrapText="1"/>
    </xf>
    <xf numFmtId="165" fontId="11" fillId="0" borderId="0" xfId="59" applyNumberFormat="1" applyFont="1" applyFill="1" applyAlignment="1" applyProtection="1">
      <alignment horizontal="left" vertical="center"/>
    </xf>
    <xf numFmtId="165" fontId="11" fillId="0" borderId="0" xfId="59" applyNumberFormat="1" applyFont="1" applyFill="1" applyAlignment="1" applyProtection="1">
      <alignment horizontal="center"/>
    </xf>
    <xf numFmtId="43" fontId="11" fillId="0" borderId="0" xfId="59" applyFont="1" applyFill="1" applyAlignment="1" applyProtection="1">
      <alignment horizontal="left"/>
    </xf>
    <xf numFmtId="43" fontId="54" fillId="0" borderId="0" xfId="59" applyFont="1" applyFill="1" applyAlignment="1" applyProtection="1">
      <alignment vertical="center"/>
    </xf>
    <xf numFmtId="165" fontId="11" fillId="0" borderId="0" xfId="59" applyNumberFormat="1" applyFont="1" applyFill="1" applyAlignment="1" applyProtection="1">
      <alignment vertical="center" wrapText="1"/>
    </xf>
    <xf numFmtId="43" fontId="51" fillId="0" borderId="0" xfId="59" applyFont="1" applyFill="1" applyAlignment="1" applyProtection="1">
      <alignment vertical="center"/>
    </xf>
    <xf numFmtId="0" fontId="51" fillId="0" borderId="0" xfId="0" applyFont="1" applyFill="1" applyAlignment="1">
      <alignment horizontal="left"/>
    </xf>
    <xf numFmtId="0" fontId="52" fillId="0" borderId="0" xfId="0" applyFont="1" applyFill="1"/>
    <xf numFmtId="0" fontId="56" fillId="0" borderId="0" xfId="0" applyFont="1" applyFill="1" applyAlignment="1">
      <alignment horizontal="left" vertical="center"/>
    </xf>
    <xf numFmtId="165" fontId="56" fillId="0" borderId="0" xfId="59" applyNumberFormat="1" applyFont="1" applyFill="1" applyAlignment="1" applyProtection="1">
      <alignment horizontal="left" vertical="center"/>
    </xf>
    <xf numFmtId="165" fontId="56" fillId="0" borderId="0" xfId="59" applyNumberFormat="1" applyFont="1" applyFill="1" applyAlignment="1" applyProtection="1">
      <alignment horizontal="left"/>
    </xf>
    <xf numFmtId="43" fontId="56" fillId="0" borderId="0" xfId="59" applyFont="1" applyFill="1" applyAlignment="1" applyProtection="1">
      <alignment horizontal="left"/>
    </xf>
    <xf numFmtId="43" fontId="55" fillId="0" borderId="0" xfId="59" applyFont="1" applyFill="1" applyAlignment="1" applyProtection="1">
      <alignment horizontal="left" vertical="center"/>
    </xf>
    <xf numFmtId="0" fontId="52" fillId="0" borderId="0" xfId="0" applyFont="1" applyFill="1" applyAlignment="1">
      <alignment horizontal="left"/>
    </xf>
    <xf numFmtId="1" fontId="51" fillId="40" borderId="6" xfId="0" applyNumberFormat="1" applyFont="1" applyFill="1" applyBorder="1" applyAlignment="1" applyProtection="1">
      <alignment horizontal="center" vertical="center" wrapText="1"/>
      <protection locked="0"/>
    </xf>
    <xf numFmtId="0" fontId="51" fillId="40" borderId="6" xfId="0" applyFont="1" applyFill="1" applyBorder="1" applyAlignment="1" applyProtection="1">
      <alignment horizontal="center" vertical="center" wrapText="1"/>
      <protection locked="0"/>
    </xf>
    <xf numFmtId="0" fontId="11" fillId="40" borderId="6" xfId="0" applyFont="1" applyFill="1" applyBorder="1" applyAlignment="1">
      <alignment horizontal="center" vertical="center" wrapText="1"/>
    </xf>
    <xf numFmtId="43" fontId="11" fillId="40" borderId="6" xfId="0" applyNumberFormat="1" applyFont="1" applyFill="1" applyBorder="1" applyAlignment="1">
      <alignment horizontal="center" vertical="center" wrapText="1"/>
    </xf>
    <xf numFmtId="43" fontId="54" fillId="40" borderId="6" xfId="0" applyNumberFormat="1" applyFont="1" applyFill="1" applyBorder="1" applyAlignment="1">
      <alignment horizontal="center" vertical="center" wrapText="1"/>
    </xf>
    <xf numFmtId="43" fontId="11" fillId="40" borderId="1" xfId="0" applyNumberFormat="1" applyFont="1" applyFill="1" applyBorder="1" applyAlignment="1">
      <alignment horizontal="center" vertical="center" wrapText="1"/>
    </xf>
    <xf numFmtId="0" fontId="20" fillId="0" borderId="0" xfId="0" applyFont="1" applyBorder="1" applyAlignment="1"/>
    <xf numFmtId="0" fontId="21" fillId="0" borderId="0" xfId="0" applyFont="1" applyBorder="1" applyAlignment="1"/>
    <xf numFmtId="0" fontId="21" fillId="0" borderId="0" xfId="0" applyFont="1" applyBorder="1" applyAlignment="1">
      <alignment horizontal="left"/>
    </xf>
    <xf numFmtId="0" fontId="59" fillId="0" borderId="0" xfId="0" applyFont="1" applyBorder="1" applyAlignment="1">
      <alignment wrapText="1"/>
    </xf>
    <xf numFmtId="0" fontId="20" fillId="0" borderId="0" xfId="0" applyFont="1" applyBorder="1" applyAlignment="1">
      <alignment horizontal="left"/>
    </xf>
    <xf numFmtId="0" fontId="60" fillId="0" borderId="0" xfId="0" applyFont="1" applyBorder="1" applyAlignment="1">
      <alignment vertical="center"/>
    </xf>
    <xf numFmtId="0" fontId="62" fillId="0" borderId="0" xfId="0" applyFont="1" applyBorder="1" applyAlignment="1">
      <alignment vertical="center" wrapText="1"/>
    </xf>
    <xf numFmtId="0" fontId="20" fillId="0" borderId="0" xfId="0" applyFont="1" applyBorder="1"/>
    <xf numFmtId="0" fontId="60" fillId="0" borderId="0" xfId="0" applyFont="1" applyAlignment="1">
      <alignment horizontal="left" vertical="center" wrapText="1"/>
    </xf>
    <xf numFmtId="0" fontId="60" fillId="0" borderId="0" xfId="0" applyFont="1" applyAlignment="1">
      <alignment horizontal="center" vertical="center"/>
    </xf>
    <xf numFmtId="0" fontId="63" fillId="0" borderId="0" xfId="0" applyFont="1" applyAlignment="1">
      <alignment horizontal="left" vertical="center"/>
    </xf>
    <xf numFmtId="0" fontId="45" fillId="0" borderId="0" xfId="0" applyFont="1" applyBorder="1" applyAlignment="1">
      <alignment horizontal="left"/>
    </xf>
    <xf numFmtId="165" fontId="58" fillId="0" borderId="0" xfId="59" applyNumberFormat="1" applyFont="1" applyFill="1" applyAlignment="1" applyProtection="1">
      <alignment horizontal="left" vertical="center"/>
    </xf>
    <xf numFmtId="0" fontId="45" fillId="0" borderId="0" xfId="0" applyFont="1" applyBorder="1" applyAlignment="1"/>
    <xf numFmtId="0" fontId="13" fillId="0" borderId="0" xfId="0" applyFont="1" applyAlignment="1">
      <alignment vertical="center"/>
    </xf>
    <xf numFmtId="0" fontId="53" fillId="0" borderId="0" xfId="0" applyFont="1" applyBorder="1" applyAlignment="1"/>
    <xf numFmtId="0" fontId="7" fillId="41" borderId="1" xfId="0" applyFont="1" applyFill="1" applyBorder="1" applyAlignment="1">
      <alignment horizontal="center" vertical="center" wrapText="1"/>
    </xf>
    <xf numFmtId="0" fontId="1" fillId="0" borderId="0" xfId="0" applyFont="1" applyAlignment="1">
      <alignment horizontal="left" vertical="center"/>
    </xf>
    <xf numFmtId="0" fontId="12" fillId="0" borderId="0" xfId="0" applyFont="1"/>
    <xf numFmtId="0" fontId="1" fillId="0" borderId="0" xfId="0" applyFont="1" applyBorder="1" applyAlignment="1">
      <alignment horizontal="center" vertical="center"/>
    </xf>
    <xf numFmtId="0" fontId="1" fillId="0" borderId="0" xfId="0" applyFont="1" applyBorder="1" applyAlignment="1">
      <alignment vertical="center"/>
    </xf>
    <xf numFmtId="0" fontId="0" fillId="0" borderId="0" xfId="0" applyAlignment="1">
      <alignment horizontal="left"/>
    </xf>
    <xf numFmtId="0" fontId="1" fillId="0" borderId="0" xfId="0" applyFont="1" applyBorder="1" applyAlignment="1">
      <alignment horizontal="left" vertical="center"/>
    </xf>
    <xf numFmtId="0" fontId="0" fillId="41" borderId="0" xfId="0" applyFill="1"/>
    <xf numFmtId="0" fontId="13" fillId="41" borderId="1" xfId="0" applyFont="1" applyFill="1" applyBorder="1" applyAlignment="1">
      <alignment vertical="center" wrapText="1"/>
    </xf>
    <xf numFmtId="0" fontId="70" fillId="6" borderId="1" xfId="0" applyFont="1" applyFill="1" applyBorder="1" applyAlignment="1">
      <alignment horizontal="left" vertical="center"/>
    </xf>
    <xf numFmtId="0" fontId="1" fillId="41" borderId="6" xfId="0" applyFont="1" applyFill="1" applyBorder="1" applyAlignment="1">
      <alignment horizontal="left" vertical="center"/>
    </xf>
    <xf numFmtId="0" fontId="13" fillId="6" borderId="6" xfId="0" applyFont="1" applyFill="1" applyBorder="1" applyAlignment="1">
      <alignment horizontal="center" vertical="center"/>
    </xf>
    <xf numFmtId="0" fontId="13" fillId="6" borderId="1" xfId="0" applyFont="1" applyFill="1" applyBorder="1" applyAlignment="1">
      <alignment horizontal="left" vertical="center"/>
    </xf>
    <xf numFmtId="0" fontId="1" fillId="6" borderId="1" xfId="0" applyFont="1" applyFill="1" applyBorder="1" applyAlignment="1">
      <alignment vertical="center"/>
    </xf>
    <xf numFmtId="0" fontId="13" fillId="41" borderId="1" xfId="0" applyFont="1" applyFill="1" applyBorder="1" applyAlignment="1">
      <alignment vertical="top" wrapText="1"/>
    </xf>
    <xf numFmtId="0" fontId="13" fillId="6" borderId="1" xfId="0" applyFont="1" applyFill="1" applyBorder="1"/>
    <xf numFmtId="0" fontId="10" fillId="0" borderId="0" xfId="0" applyFont="1" applyBorder="1" applyAlignment="1">
      <alignment horizontal="center" vertical="top"/>
    </xf>
    <xf numFmtId="0" fontId="75" fillId="0" borderId="0" xfId="0" applyFont="1" applyBorder="1" applyAlignment="1">
      <alignment horizontal="center" vertical="top" wrapText="1"/>
    </xf>
    <xf numFmtId="0" fontId="76" fillId="6" borderId="1" xfId="0" applyFont="1" applyFill="1" applyBorder="1" applyAlignment="1">
      <alignment horizontal="left" vertical="top" wrapText="1"/>
    </xf>
    <xf numFmtId="0" fontId="10" fillId="6" borderId="1" xfId="0" applyFont="1" applyFill="1" applyBorder="1" applyAlignment="1">
      <alignment horizontal="left" vertical="top" wrapText="1"/>
    </xf>
    <xf numFmtId="0" fontId="10" fillId="6" borderId="2" xfId="0" applyFont="1" applyFill="1" applyBorder="1" applyAlignment="1">
      <alignment horizontal="left" vertical="top" wrapText="1"/>
    </xf>
    <xf numFmtId="0" fontId="0" fillId="6" borderId="1" xfId="0" applyFill="1" applyBorder="1" applyAlignment="1"/>
    <xf numFmtId="0" fontId="10" fillId="6" borderId="1" xfId="0" applyFont="1" applyFill="1" applyBorder="1" applyAlignment="1">
      <alignment horizontal="center" vertical="top" wrapText="1"/>
    </xf>
    <xf numFmtId="0" fontId="10" fillId="6" borderId="2" xfId="0" applyFont="1" applyFill="1" applyBorder="1" applyAlignment="1">
      <alignment horizontal="center" vertical="top" wrapText="1"/>
    </xf>
    <xf numFmtId="0" fontId="76" fillId="6" borderId="2" xfId="0" applyFont="1" applyFill="1" applyBorder="1" applyAlignment="1">
      <alignment horizontal="center" vertical="top" wrapText="1"/>
    </xf>
    <xf numFmtId="0" fontId="13" fillId="41" borderId="1" xfId="0" applyFont="1" applyFill="1" applyBorder="1" applyAlignment="1">
      <alignment horizontal="center" vertical="center" wrapText="1"/>
    </xf>
    <xf numFmtId="0" fontId="10" fillId="41" borderId="1" xfId="0" applyFont="1" applyFill="1" applyBorder="1" applyAlignment="1">
      <alignment horizontal="center" vertical="top" wrapText="1"/>
    </xf>
    <xf numFmtId="0" fontId="13" fillId="41" borderId="6" xfId="0" applyFont="1" applyFill="1" applyBorder="1" applyAlignment="1">
      <alignment horizontal="left" vertical="center" wrapText="1" indent="1"/>
    </xf>
    <xf numFmtId="0" fontId="13" fillId="41" borderId="6" xfId="0" applyFont="1" applyFill="1" applyBorder="1" applyAlignment="1">
      <alignment horizontal="left" vertical="center" wrapText="1" indent="3"/>
    </xf>
    <xf numFmtId="0" fontId="10" fillId="0" borderId="0" xfId="0" applyFont="1" applyAlignment="1">
      <alignment horizontal="left" vertical="top"/>
    </xf>
    <xf numFmtId="0" fontId="7" fillId="4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6" borderId="1" xfId="0" applyFill="1" applyBorder="1" applyAlignment="1">
      <alignment horizontal="center"/>
    </xf>
    <xf numFmtId="0" fontId="15" fillId="0" borderId="0" xfId="0" applyFont="1" applyAlignment="1">
      <alignment vertical="center" wrapText="1"/>
    </xf>
    <xf numFmtId="0" fontId="11" fillId="6" borderId="1" xfId="0" applyFont="1" applyFill="1" applyBorder="1" applyAlignment="1">
      <alignment horizontal="center"/>
    </xf>
    <xf numFmtId="0" fontId="11" fillId="0" borderId="0" xfId="0" applyFont="1" applyFill="1"/>
    <xf numFmtId="0" fontId="15" fillId="0" borderId="0" xfId="0" applyFont="1" applyFill="1"/>
    <xf numFmtId="0" fontId="10" fillId="0" borderId="31" xfId="0" applyFont="1" applyBorder="1" applyAlignment="1">
      <alignment horizontal="left" vertical="top"/>
    </xf>
    <xf numFmtId="0" fontId="65" fillId="5" borderId="5" xfId="0" applyFont="1" applyFill="1" applyBorder="1" applyAlignment="1">
      <alignment horizontal="left" vertical="center" wrapText="1"/>
    </xf>
    <xf numFmtId="0" fontId="65" fillId="5" borderId="1" xfId="0" applyFont="1" applyFill="1" applyBorder="1" applyAlignment="1">
      <alignment horizontal="left" vertical="center" wrapText="1"/>
    </xf>
    <xf numFmtId="0" fontId="67" fillId="5" borderId="1" xfId="0" applyFont="1" applyFill="1" applyBorder="1" applyAlignment="1">
      <alignment horizontal="left" vertical="center" wrapText="1" indent="2"/>
    </xf>
    <xf numFmtId="0" fontId="11" fillId="0" borderId="0" xfId="0" applyFont="1" applyAlignment="1">
      <alignment horizontal="right"/>
    </xf>
    <xf numFmtId="0" fontId="0" fillId="7" borderId="0" xfId="0" applyFill="1"/>
    <xf numFmtId="0" fontId="0" fillId="0" borderId="0" xfId="0" applyBorder="1"/>
    <xf numFmtId="0" fontId="2" fillId="2" borderId="1" xfId="0" applyFont="1" applyFill="1" applyBorder="1" applyAlignment="1">
      <alignment vertical="center" wrapText="1"/>
    </xf>
    <xf numFmtId="0" fontId="7" fillId="5" borderId="6" xfId="0" applyFont="1" applyFill="1" applyBorder="1"/>
    <xf numFmtId="0" fontId="3" fillId="6" borderId="6" xfId="0" applyFont="1" applyFill="1" applyBorder="1" applyAlignment="1">
      <alignment vertical="center" wrapText="1"/>
    </xf>
    <xf numFmtId="0" fontId="0" fillId="5" borderId="3" xfId="0" applyFill="1" applyBorder="1" applyAlignment="1">
      <alignment vertical="center" wrapText="1"/>
    </xf>
    <xf numFmtId="0" fontId="2" fillId="2" borderId="3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0" fillId="5" borderId="10" xfId="0" applyFill="1" applyBorder="1" applyAlignment="1">
      <alignment vertical="center" wrapText="1"/>
    </xf>
    <xf numFmtId="0" fontId="4" fillId="6" borderId="5" xfId="0" applyFont="1" applyFill="1" applyBorder="1"/>
    <xf numFmtId="0" fontId="3" fillId="6" borderId="5" xfId="0" applyFont="1" applyFill="1" applyBorder="1" applyAlignment="1">
      <alignment vertical="center" wrapText="1"/>
    </xf>
    <xf numFmtId="0" fontId="3" fillId="6" borderId="5" xfId="0" applyFont="1" applyFill="1" applyBorder="1" applyAlignment="1">
      <alignment horizontal="justify" vertical="center" wrapText="1"/>
    </xf>
    <xf numFmtId="0" fontId="77" fillId="6" borderId="5" xfId="0" applyFont="1" applyFill="1" applyBorder="1" applyAlignment="1">
      <alignment vertical="center" wrapText="1"/>
    </xf>
    <xf numFmtId="0" fontId="3" fillId="6" borderId="1" xfId="0" applyFont="1" applyFill="1" applyBorder="1" applyAlignment="1">
      <alignment horizontal="justify" vertical="center" wrapText="1"/>
    </xf>
    <xf numFmtId="0" fontId="2" fillId="4" borderId="0" xfId="0" applyFont="1" applyFill="1" applyBorder="1" applyAlignment="1">
      <alignment horizontal="center" vertical="center" wrapText="1"/>
    </xf>
    <xf numFmtId="0" fontId="78" fillId="0" borderId="0" xfId="0" applyFont="1"/>
    <xf numFmtId="0" fontId="20" fillId="0" borderId="0" xfId="0" applyFont="1" applyFill="1" applyBorder="1"/>
    <xf numFmtId="0" fontId="60" fillId="0" borderId="0" xfId="0" applyFont="1" applyFill="1" applyBorder="1" applyAlignment="1">
      <alignment horizontal="left" wrapText="1"/>
    </xf>
    <xf numFmtId="0" fontId="12" fillId="0" borderId="0" xfId="0" applyFont="1" applyFill="1" applyAlignment="1">
      <alignment vertical="center"/>
    </xf>
    <xf numFmtId="0" fontId="0" fillId="0" borderId="0" xfId="0" applyFill="1"/>
    <xf numFmtId="0" fontId="9" fillId="0" borderId="0" xfId="0" applyFont="1" applyFill="1" applyAlignment="1">
      <alignment horizontal="center" vertical="center"/>
    </xf>
    <xf numFmtId="0" fontId="15" fillId="0" borderId="0" xfId="0" applyFont="1" applyFill="1" applyAlignment="1">
      <alignment vertical="center" wrapText="1"/>
    </xf>
    <xf numFmtId="0" fontId="67" fillId="0" borderId="0" xfId="0" applyFont="1" applyFill="1" applyBorder="1" applyAlignment="1">
      <alignment horizontal="left" wrapText="1"/>
    </xf>
    <xf numFmtId="0" fontId="70" fillId="0" borderId="0" xfId="0" applyFont="1" applyFill="1" applyAlignment="1">
      <alignment horizontal="left" vertical="center" wrapText="1"/>
    </xf>
    <xf numFmtId="0" fontId="15" fillId="0" borderId="0" xfId="0" applyFont="1" applyFill="1" applyAlignment="1">
      <alignment horizontal="left" vertical="center"/>
    </xf>
    <xf numFmtId="0" fontId="59" fillId="0" borderId="0" xfId="0" applyFont="1" applyFill="1" applyBorder="1" applyAlignment="1">
      <alignment horizontal="left" wrapText="1"/>
    </xf>
    <xf numFmtId="0" fontId="61" fillId="0" borderId="0" xfId="0" applyFont="1" applyFill="1" applyBorder="1" applyAlignment="1">
      <alignment vertical="top" wrapText="1"/>
    </xf>
    <xf numFmtId="0" fontId="61" fillId="0" borderId="0" xfId="0" applyFont="1" applyFill="1" applyBorder="1" applyAlignment="1">
      <alignment horizontal="center" vertical="top" wrapText="1"/>
    </xf>
    <xf numFmtId="0" fontId="20" fillId="0" borderId="0" xfId="0" applyFont="1" applyFill="1" applyBorder="1" applyAlignment="1"/>
    <xf numFmtId="0" fontId="21" fillId="0" borderId="0" xfId="0" applyFont="1" applyFill="1" applyBorder="1" applyAlignment="1"/>
    <xf numFmtId="0" fontId="21" fillId="0" borderId="0" xfId="0" applyFont="1" applyFill="1" applyBorder="1" applyAlignment="1">
      <alignment horizontal="left"/>
    </xf>
    <xf numFmtId="0" fontId="59" fillId="0" borderId="0" xfId="0" applyFont="1" applyFill="1" applyBorder="1" applyAlignment="1">
      <alignment wrapText="1"/>
    </xf>
    <xf numFmtId="0" fontId="20" fillId="0" borderId="0" xfId="0" applyFont="1" applyFill="1" applyBorder="1" applyAlignment="1">
      <alignment horizontal="left"/>
    </xf>
    <xf numFmtId="0" fontId="45" fillId="0" borderId="0" xfId="0" applyFont="1" applyFill="1" applyBorder="1" applyAlignment="1">
      <alignment horizontal="left"/>
    </xf>
    <xf numFmtId="0" fontId="66" fillId="4" borderId="0" xfId="0" applyFont="1" applyFill="1" applyBorder="1" applyAlignment="1">
      <alignment horizontal="center" wrapText="1"/>
    </xf>
    <xf numFmtId="0" fontId="11" fillId="0" borderId="0" xfId="0" applyFont="1" applyBorder="1" applyAlignment="1"/>
    <xf numFmtId="0" fontId="76" fillId="0" borderId="0" xfId="0" applyFont="1"/>
    <xf numFmtId="0" fontId="7" fillId="2" borderId="6"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9" fillId="0" borderId="0" xfId="0" applyFont="1"/>
    <xf numFmtId="0" fontId="80" fillId="0" borderId="0" xfId="0" applyFont="1"/>
    <xf numFmtId="0" fontId="81" fillId="0" borderId="0" xfId="0" applyFont="1"/>
    <xf numFmtId="0" fontId="79" fillId="0" borderId="0" xfId="0" applyFont="1" applyFill="1"/>
    <xf numFmtId="0" fontId="81" fillId="0" borderId="0" xfId="0" applyFont="1" applyFill="1"/>
    <xf numFmtId="0" fontId="76" fillId="0" borderId="0" xfId="0" applyFont="1" applyFill="1"/>
    <xf numFmtId="0" fontId="45" fillId="0" borderId="0" xfId="0" applyFont="1" applyBorder="1"/>
    <xf numFmtId="0" fontId="71" fillId="0" borderId="0" xfId="0" applyFont="1" applyAlignment="1">
      <alignment horizontal="center"/>
    </xf>
    <xf numFmtId="0" fontId="76" fillId="0" borderId="0" xfId="0" applyFont="1" applyFill="1" applyAlignment="1">
      <alignment horizontal="left" vertical="center" wrapText="1"/>
    </xf>
    <xf numFmtId="0" fontId="12" fillId="0" borderId="0" xfId="0" applyFont="1" applyFill="1" applyAlignment="1">
      <alignment horizontal="left" vertical="center" wrapText="1"/>
    </xf>
    <xf numFmtId="0" fontId="82" fillId="0" borderId="0" xfId="0" applyFont="1" applyFill="1" applyBorder="1" applyAlignment="1">
      <alignment horizontal="left" wrapText="1"/>
    </xf>
    <xf numFmtId="0" fontId="83" fillId="0" borderId="0" xfId="0" applyFont="1" applyFill="1" applyBorder="1" applyAlignment="1">
      <alignment horizontal="left"/>
    </xf>
    <xf numFmtId="0" fontId="84" fillId="0" borderId="0" xfId="0" applyFont="1" applyAlignment="1">
      <alignment horizontal="center"/>
    </xf>
    <xf numFmtId="0" fontId="85" fillId="0" borderId="0" xfId="0" applyFont="1" applyFill="1" applyBorder="1" applyAlignment="1">
      <alignment horizontal="center" vertical="top" wrapText="1"/>
    </xf>
    <xf numFmtId="0" fontId="83" fillId="4" borderId="0" xfId="0" applyFont="1" applyFill="1" applyBorder="1" applyAlignment="1">
      <alignment horizontal="center" wrapText="1"/>
    </xf>
    <xf numFmtId="0" fontId="86" fillId="0" borderId="0" xfId="0" applyFont="1" applyBorder="1" applyAlignment="1"/>
    <xf numFmtId="0" fontId="88" fillId="42" borderId="1" xfId="0" applyFont="1" applyFill="1" applyBorder="1" applyAlignment="1">
      <alignment vertical="center" wrapText="1"/>
    </xf>
    <xf numFmtId="0" fontId="47" fillId="5" borderId="1" xfId="0" applyFont="1" applyFill="1" applyBorder="1" applyAlignment="1">
      <alignment horizontal="center" vertical="center" wrapText="1"/>
    </xf>
    <xf numFmtId="0" fontId="90" fillId="5" borderId="1" xfId="0" applyFont="1" applyFill="1" applyBorder="1" applyAlignment="1">
      <alignment horizontal="center" vertical="center" wrapText="1"/>
    </xf>
    <xf numFmtId="165" fontId="71" fillId="44" borderId="3" xfId="59" applyNumberFormat="1" applyFont="1" applyFill="1" applyBorder="1" applyAlignment="1">
      <alignment horizontal="left" vertical="center" wrapText="1"/>
    </xf>
    <xf numFmtId="0" fontId="44" fillId="44" borderId="33" xfId="62" quotePrefix="1" applyFont="1" applyFill="1" applyBorder="1" applyAlignment="1">
      <alignment horizontal="left" vertical="center" wrapText="1"/>
    </xf>
    <xf numFmtId="0" fontId="3" fillId="44" borderId="1" xfId="0" applyFont="1" applyFill="1" applyBorder="1" applyAlignment="1">
      <alignment vertical="center" wrapText="1"/>
    </xf>
    <xf numFmtId="0" fontId="2" fillId="6" borderId="1" xfId="0" applyFont="1" applyFill="1" applyBorder="1" applyAlignment="1">
      <alignment horizontal="center" vertical="center" wrapText="1"/>
    </xf>
    <xf numFmtId="0" fontId="2" fillId="6" borderId="1" xfId="0" applyFont="1" applyFill="1" applyBorder="1" applyAlignment="1">
      <alignment horizontal="left" vertical="center" wrapText="1"/>
    </xf>
    <xf numFmtId="0" fontId="91" fillId="42" borderId="1" xfId="0" applyFont="1" applyFill="1" applyBorder="1" applyAlignment="1">
      <alignment horizontal="center" vertical="center" wrapText="1"/>
    </xf>
    <xf numFmtId="0" fontId="92" fillId="0" borderId="0" xfId="0" applyFont="1" applyAlignment="1">
      <alignment vertical="center"/>
    </xf>
    <xf numFmtId="0" fontId="7" fillId="8" borderId="6" xfId="0" applyFont="1" applyFill="1" applyBorder="1" applyAlignment="1">
      <alignment vertical="center" wrapText="1"/>
    </xf>
    <xf numFmtId="0" fontId="93" fillId="8" borderId="1" xfId="0" applyFont="1" applyFill="1" applyBorder="1" applyAlignment="1">
      <alignment horizontal="center" vertical="center" wrapText="1"/>
    </xf>
    <xf numFmtId="0" fontId="4" fillId="8" borderId="6" xfId="0" applyFont="1" applyFill="1" applyBorder="1" applyAlignment="1">
      <alignment vertical="center" wrapText="1"/>
    </xf>
    <xf numFmtId="166" fontId="4" fillId="8" borderId="1" xfId="0" applyNumberFormat="1" applyFont="1" applyFill="1" applyBorder="1" applyAlignment="1">
      <alignment vertical="center" wrapText="1"/>
    </xf>
    <xf numFmtId="166" fontId="61" fillId="8" borderId="1" xfId="0" applyNumberFormat="1" applyFont="1" applyFill="1" applyBorder="1" applyAlignment="1">
      <alignment vertical="center" wrapText="1"/>
    </xf>
    <xf numFmtId="167" fontId="61" fillId="8" borderId="1" xfId="0" applyNumberFormat="1" applyFont="1" applyFill="1" applyBorder="1" applyAlignment="1">
      <alignment vertical="center" wrapText="1"/>
    </xf>
    <xf numFmtId="0" fontId="7" fillId="8" borderId="9" xfId="0" applyFont="1" applyFill="1" applyBorder="1" applyAlignment="1">
      <alignment vertical="center" wrapText="1"/>
    </xf>
    <xf numFmtId="0" fontId="5" fillId="8" borderId="6" xfId="0" applyFont="1" applyFill="1" applyBorder="1" applyAlignment="1">
      <alignment horizontal="center" vertical="center" wrapText="1"/>
    </xf>
    <xf numFmtId="0" fontId="5" fillId="8" borderId="6" xfId="0" applyFont="1" applyFill="1" applyBorder="1" applyAlignment="1">
      <alignment vertical="center" wrapText="1"/>
    </xf>
    <xf numFmtId="166" fontId="5" fillId="8" borderId="1" xfId="0" applyNumberFormat="1" applyFont="1" applyFill="1" applyBorder="1" applyAlignment="1">
      <alignment vertical="center" wrapText="1"/>
    </xf>
    <xf numFmtId="0" fontId="7" fillId="8" borderId="36" xfId="0" applyFont="1" applyFill="1" applyBorder="1" applyAlignment="1">
      <alignment vertical="center" wrapText="1"/>
    </xf>
    <xf numFmtId="0" fontId="93" fillId="8" borderId="6" xfId="0" applyFont="1" applyFill="1" applyBorder="1" applyAlignment="1">
      <alignment horizontal="center" vertical="center" wrapText="1"/>
    </xf>
    <xf numFmtId="0" fontId="4" fillId="8" borderId="35" xfId="0" applyFont="1" applyFill="1" applyBorder="1" applyAlignment="1">
      <alignment vertical="center" wrapText="1"/>
    </xf>
    <xf numFmtId="166" fontId="68" fillId="8" borderId="1" xfId="0" applyNumberFormat="1" applyFont="1" applyFill="1" applyBorder="1" applyAlignment="1">
      <alignment vertical="center" wrapText="1"/>
    </xf>
    <xf numFmtId="167" fontId="68" fillId="8" borderId="1" xfId="0" applyNumberFormat="1" applyFont="1" applyFill="1" applyBorder="1" applyAlignment="1">
      <alignment vertical="center" wrapText="1"/>
    </xf>
    <xf numFmtId="0" fontId="93" fillId="8" borderId="9" xfId="0" applyFont="1" applyFill="1" applyBorder="1" applyAlignment="1">
      <alignment horizontal="center" vertical="center" wrapText="1"/>
    </xf>
    <xf numFmtId="0" fontId="7" fillId="8" borderId="35" xfId="0" applyFont="1" applyFill="1" applyBorder="1" applyAlignment="1">
      <alignment vertical="center" wrapText="1"/>
    </xf>
    <xf numFmtId="0" fontId="4" fillId="8" borderId="7" xfId="0" applyFont="1" applyFill="1" applyBorder="1" applyAlignment="1">
      <alignment vertical="center" wrapText="1"/>
    </xf>
    <xf numFmtId="0" fontId="93" fillId="8" borderId="5" xfId="0" applyFont="1" applyFill="1" applyBorder="1" applyAlignment="1">
      <alignment horizontal="center" vertical="center" wrapText="1"/>
    </xf>
    <xf numFmtId="0" fontId="5" fillId="8" borderId="9" xfId="0" applyFont="1" applyFill="1" applyBorder="1" applyAlignment="1">
      <alignment horizontal="center" vertical="center" wrapText="1"/>
    </xf>
    <xf numFmtId="166" fontId="90" fillId="8" borderId="1" xfId="0" applyNumberFormat="1" applyFont="1" applyFill="1" applyBorder="1" applyAlignment="1">
      <alignment vertical="center" wrapText="1"/>
    </xf>
    <xf numFmtId="0" fontId="41" fillId="0" borderId="0" xfId="0" applyFont="1"/>
    <xf numFmtId="0" fontId="5" fillId="8" borderId="9" xfId="0" applyFont="1" applyFill="1" applyBorder="1" applyAlignment="1">
      <alignment vertical="center" wrapText="1"/>
    </xf>
    <xf numFmtId="0" fontId="5" fillId="8" borderId="36" xfId="0" applyFont="1" applyFill="1" applyBorder="1" applyAlignment="1">
      <alignment vertical="center" wrapText="1"/>
    </xf>
    <xf numFmtId="0" fontId="5" fillId="8" borderId="1" xfId="0" applyFont="1" applyFill="1" applyBorder="1" applyAlignment="1">
      <alignment horizontal="center" vertical="center" wrapText="1"/>
    </xf>
    <xf numFmtId="0" fontId="4" fillId="8" borderId="37" xfId="0" applyFont="1" applyFill="1" applyBorder="1" applyAlignment="1">
      <alignment vertical="center" wrapText="1"/>
    </xf>
    <xf numFmtId="166" fontId="4" fillId="8" borderId="5" xfId="0" applyNumberFormat="1" applyFont="1" applyFill="1" applyBorder="1" applyAlignment="1">
      <alignment vertical="center" wrapText="1"/>
    </xf>
    <xf numFmtId="166" fontId="68" fillId="8" borderId="5" xfId="0" applyNumberFormat="1" applyFont="1" applyFill="1" applyBorder="1" applyAlignment="1">
      <alignment vertical="center" wrapText="1"/>
    </xf>
    <xf numFmtId="167" fontId="68" fillId="8" borderId="5" xfId="0" applyNumberFormat="1" applyFont="1" applyFill="1" applyBorder="1" applyAlignment="1">
      <alignment vertical="center" wrapText="1"/>
    </xf>
    <xf numFmtId="0" fontId="93" fillId="8" borderId="35" xfId="0" applyFont="1" applyFill="1" applyBorder="1" applyAlignment="1">
      <alignment vertical="center" wrapText="1"/>
    </xf>
    <xf numFmtId="166" fontId="93" fillId="8" borderId="1" xfId="0" applyNumberFormat="1" applyFont="1" applyFill="1" applyBorder="1" applyAlignment="1">
      <alignment vertical="center" wrapText="1"/>
    </xf>
    <xf numFmtId="166" fontId="94" fillId="8" borderId="1" xfId="0" applyNumberFormat="1" applyFont="1" applyFill="1" applyBorder="1" applyAlignment="1">
      <alignment vertical="center" wrapText="1"/>
    </xf>
    <xf numFmtId="167" fontId="94" fillId="8" borderId="1" xfId="0" applyNumberFormat="1" applyFont="1" applyFill="1" applyBorder="1" applyAlignment="1">
      <alignment vertical="center" wrapText="1"/>
    </xf>
    <xf numFmtId="0" fontId="5" fillId="8" borderId="35" xfId="0" applyFont="1" applyFill="1" applyBorder="1" applyAlignment="1">
      <alignment vertical="center" wrapText="1"/>
    </xf>
    <xf numFmtId="166" fontId="4" fillId="8" borderId="6" xfId="0" applyNumberFormat="1" applyFont="1" applyFill="1" applyBorder="1" applyAlignment="1">
      <alignment vertical="center" wrapText="1"/>
    </xf>
    <xf numFmtId="0" fontId="5" fillId="8" borderId="7" xfId="0" applyFont="1" applyFill="1" applyBorder="1" applyAlignment="1">
      <alignment vertical="center" wrapText="1"/>
    </xf>
    <xf numFmtId="167" fontId="5" fillId="8" borderId="1" xfId="0" applyNumberFormat="1" applyFont="1" applyFill="1" applyBorder="1" applyAlignment="1">
      <alignment vertical="center" wrapText="1"/>
    </xf>
    <xf numFmtId="167" fontId="68" fillId="8" borderId="6" xfId="0" applyNumberFormat="1" applyFont="1" applyFill="1" applyBorder="1" applyAlignment="1">
      <alignment vertical="center" wrapText="1"/>
    </xf>
    <xf numFmtId="166" fontId="68" fillId="8" borderId="6" xfId="0" applyNumberFormat="1" applyFont="1" applyFill="1" applyBorder="1" applyAlignment="1">
      <alignment vertical="center" wrapText="1"/>
    </xf>
    <xf numFmtId="167" fontId="4" fillId="8" borderId="5" xfId="0" applyNumberFormat="1" applyFont="1" applyFill="1" applyBorder="1" applyAlignment="1">
      <alignment vertical="center" wrapText="1"/>
    </xf>
    <xf numFmtId="167" fontId="93" fillId="8" borderId="1" xfId="0" applyNumberFormat="1" applyFont="1" applyFill="1" applyBorder="1" applyAlignment="1">
      <alignment vertical="center" wrapText="1"/>
    </xf>
    <xf numFmtId="0" fontId="95" fillId="0" borderId="0" xfId="0" applyFont="1"/>
    <xf numFmtId="0" fontId="90" fillId="8" borderId="9" xfId="0" applyFont="1" applyFill="1" applyBorder="1" applyAlignment="1">
      <alignment vertical="center" wrapText="1"/>
    </xf>
    <xf numFmtId="0" fontId="90" fillId="8" borderId="35" xfId="0" applyFont="1" applyFill="1" applyBorder="1" applyAlignment="1">
      <alignment vertical="center" wrapText="1"/>
    </xf>
    <xf numFmtId="0" fontId="5" fillId="8" borderId="37" xfId="0" applyFont="1" applyFill="1" applyBorder="1" applyAlignment="1">
      <alignment horizontal="center" vertical="center" wrapText="1"/>
    </xf>
    <xf numFmtId="0" fontId="5" fillId="8" borderId="1" xfId="0" applyFont="1" applyFill="1" applyBorder="1" applyAlignment="1">
      <alignment horizontal="left" vertical="center" wrapText="1"/>
    </xf>
    <xf numFmtId="166" fontId="90" fillId="8" borderId="1" xfId="59" applyNumberFormat="1" applyFont="1" applyFill="1" applyBorder="1" applyAlignment="1">
      <alignment horizontal="right" vertical="top"/>
    </xf>
    <xf numFmtId="167" fontId="90" fillId="8" borderId="1" xfId="59" applyNumberFormat="1" applyFont="1" applyFill="1" applyBorder="1" applyAlignment="1">
      <alignment horizontal="right" vertical="top"/>
    </xf>
    <xf numFmtId="0" fontId="93" fillId="8" borderId="35" xfId="0" applyFont="1" applyFill="1" applyBorder="1" applyAlignment="1">
      <alignment horizontal="center" vertical="center" wrapText="1"/>
    </xf>
    <xf numFmtId="0" fontId="93" fillId="8" borderId="37" xfId="0" applyFont="1" applyFill="1" applyBorder="1" applyAlignment="1">
      <alignment horizontal="center" vertical="center" wrapText="1"/>
    </xf>
    <xf numFmtId="166" fontId="68" fillId="8" borderId="1" xfId="59" applyNumberFormat="1" applyFont="1" applyFill="1" applyBorder="1" applyAlignment="1">
      <alignment horizontal="right" vertical="top"/>
    </xf>
    <xf numFmtId="167" fontId="68" fillId="8" borderId="1" xfId="59" applyNumberFormat="1" applyFont="1" applyFill="1" applyBorder="1" applyAlignment="1">
      <alignment horizontal="right" vertical="top"/>
    </xf>
    <xf numFmtId="0" fontId="93" fillId="8" borderId="8" xfId="0" applyFont="1" applyFill="1" applyBorder="1" applyAlignment="1">
      <alignment horizontal="center" vertical="center" wrapText="1"/>
    </xf>
    <xf numFmtId="167" fontId="90" fillId="8" borderId="1" xfId="0" applyNumberFormat="1" applyFont="1" applyFill="1" applyBorder="1" applyAlignment="1">
      <alignment vertical="center" wrapText="1"/>
    </xf>
    <xf numFmtId="0" fontId="93" fillId="8" borderId="7" xfId="0" applyFont="1" applyFill="1" applyBorder="1" applyAlignment="1">
      <alignment horizontal="center" vertical="center" wrapText="1"/>
    </xf>
    <xf numFmtId="0" fontId="5" fillId="8" borderId="35" xfId="0" applyFont="1" applyFill="1" applyBorder="1" applyAlignment="1">
      <alignment horizontal="center" vertical="center" wrapText="1"/>
    </xf>
    <xf numFmtId="166" fontId="94" fillId="8" borderId="1" xfId="59" applyNumberFormat="1" applyFont="1" applyFill="1" applyBorder="1" applyAlignment="1">
      <alignment horizontal="right" vertical="center"/>
    </xf>
    <xf numFmtId="166" fontId="68" fillId="8" borderId="1" xfId="59" applyNumberFormat="1" applyFont="1" applyFill="1" applyBorder="1" applyAlignment="1">
      <alignment horizontal="right" vertical="center"/>
    </xf>
    <xf numFmtId="0" fontId="4" fillId="8" borderId="37" xfId="0" applyFont="1" applyFill="1" applyBorder="1" applyAlignment="1">
      <alignment horizontal="center" vertical="center" wrapText="1"/>
    </xf>
    <xf numFmtId="0" fontId="4" fillId="8" borderId="8" xfId="0" applyFont="1" applyFill="1" applyBorder="1" applyAlignment="1">
      <alignment horizontal="center" vertical="center" wrapText="1"/>
    </xf>
    <xf numFmtId="166" fontId="90" fillId="8" borderId="1" xfId="59" applyNumberFormat="1" applyFont="1" applyFill="1" applyBorder="1" applyAlignment="1">
      <alignment horizontal="right" vertical="center"/>
    </xf>
    <xf numFmtId="0" fontId="7" fillId="8" borderId="5" xfId="0" applyFont="1" applyFill="1" applyBorder="1" applyAlignment="1">
      <alignment vertical="center" wrapText="1"/>
    </xf>
    <xf numFmtId="0" fontId="0" fillId="0" borderId="0" xfId="0" applyAlignment="1">
      <alignment vertical="top"/>
    </xf>
    <xf numFmtId="0" fontId="7" fillId="8" borderId="32" xfId="0" applyFont="1" applyFill="1" applyBorder="1" applyAlignment="1">
      <alignment vertical="center" wrapText="1"/>
    </xf>
    <xf numFmtId="0" fontId="4" fillId="8" borderId="5" xfId="0" applyFont="1" applyFill="1" applyBorder="1" applyAlignment="1">
      <alignment horizontal="center" vertical="center" wrapText="1"/>
    </xf>
    <xf numFmtId="167" fontId="90" fillId="8" borderId="1" xfId="59" applyNumberFormat="1" applyFont="1" applyFill="1" applyBorder="1" applyAlignment="1">
      <alignment horizontal="right" vertical="center"/>
    </xf>
    <xf numFmtId="167" fontId="68" fillId="8" borderId="1" xfId="59" applyNumberFormat="1" applyFont="1" applyFill="1" applyBorder="1" applyAlignment="1">
      <alignment horizontal="right" vertical="center"/>
    </xf>
    <xf numFmtId="0" fontId="4" fillId="8" borderId="9" xfId="0" applyFont="1" applyFill="1" applyBorder="1" applyAlignment="1">
      <alignment vertical="center" wrapText="1"/>
    </xf>
    <xf numFmtId="0" fontId="4" fillId="8" borderId="36" xfId="0" applyFont="1" applyFill="1" applyBorder="1" applyAlignment="1">
      <alignment vertical="center" wrapText="1"/>
    </xf>
    <xf numFmtId="0" fontId="4" fillId="8" borderId="9" xfId="0" applyFont="1" applyFill="1" applyBorder="1" applyAlignment="1">
      <alignment horizontal="center" vertical="center" wrapText="1"/>
    </xf>
    <xf numFmtId="0" fontId="5" fillId="8" borderId="34" xfId="0" applyFont="1" applyFill="1" applyBorder="1" applyAlignment="1">
      <alignment vertical="center" wrapText="1"/>
    </xf>
    <xf numFmtId="0" fontId="4" fillId="8" borderId="6" xfId="0" applyFont="1" applyFill="1" applyBorder="1" applyAlignment="1">
      <alignment horizontal="center" vertical="center" wrapText="1"/>
    </xf>
    <xf numFmtId="166" fontId="47" fillId="8" borderId="1" xfId="59" applyNumberFormat="1" applyFont="1" applyFill="1" applyBorder="1" applyAlignment="1">
      <alignment horizontal="right" vertical="center"/>
    </xf>
    <xf numFmtId="0" fontId="4" fillId="8" borderId="5" xfId="0" applyFont="1" applyFill="1" applyBorder="1" applyAlignment="1">
      <alignment vertical="center" wrapText="1"/>
    </xf>
    <xf numFmtId="0" fontId="4" fillId="8" borderId="32" xfId="0" applyFont="1" applyFill="1" applyBorder="1" applyAlignment="1">
      <alignment vertical="center" wrapText="1"/>
    </xf>
    <xf numFmtId="0" fontId="12" fillId="0" borderId="0" xfId="0" applyFont="1" applyAlignment="1">
      <alignment vertical="center" wrapText="1"/>
    </xf>
    <xf numFmtId="0" fontId="0" fillId="0" borderId="10" xfId="0" applyBorder="1"/>
    <xf numFmtId="0" fontId="41" fillId="0" borderId="0" xfId="0" applyFont="1" applyAlignment="1">
      <alignment horizontal="center"/>
    </xf>
    <xf numFmtId="167" fontId="0" fillId="0" borderId="0" xfId="0" applyNumberFormat="1"/>
    <xf numFmtId="167" fontId="20" fillId="0" borderId="0" xfId="0" applyNumberFormat="1" applyFont="1"/>
    <xf numFmtId="166" fontId="12" fillId="5" borderId="1" xfId="0" applyNumberFormat="1" applyFont="1" applyFill="1" applyBorder="1" applyAlignment="1">
      <alignment horizontal="center" vertical="center" wrapText="1"/>
    </xf>
    <xf numFmtId="0" fontId="10" fillId="2" borderId="6" xfId="0" applyFont="1" applyFill="1" applyBorder="1" applyAlignment="1">
      <alignment horizontal="center" vertical="center" wrapText="1"/>
    </xf>
    <xf numFmtId="49" fontId="89" fillId="2" borderId="1" xfId="0" applyNumberFormat="1" applyFont="1" applyFill="1" applyBorder="1" applyAlignment="1">
      <alignment horizontal="center" vertical="center" wrapText="1"/>
    </xf>
    <xf numFmtId="0" fontId="12" fillId="2" borderId="6" xfId="0" applyFont="1" applyFill="1" applyBorder="1" applyAlignment="1">
      <alignment horizontal="center" vertical="center" wrapText="1"/>
    </xf>
    <xf numFmtId="49" fontId="12" fillId="5" borderId="1" xfId="0" applyNumberFormat="1" applyFont="1" applyFill="1" applyBorder="1" applyAlignment="1">
      <alignment horizontal="center" vertical="center" wrapText="1"/>
    </xf>
    <xf numFmtId="0" fontId="12" fillId="5" borderId="1"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2" fillId="5" borderId="6" xfId="0" applyFont="1" applyFill="1" applyBorder="1" applyAlignment="1">
      <alignment horizontal="center" vertical="center" wrapText="1"/>
    </xf>
    <xf numFmtId="49" fontId="12" fillId="5" borderId="9" xfId="0" applyNumberFormat="1" applyFont="1" applyFill="1" applyBorder="1" applyAlignment="1">
      <alignment horizontal="center" vertical="center" wrapText="1"/>
    </xf>
    <xf numFmtId="166" fontId="90" fillId="5" borderId="1" xfId="59" applyNumberFormat="1" applyFont="1" applyFill="1" applyBorder="1" applyAlignment="1">
      <alignment horizontal="center" vertical="center" wrapText="1"/>
    </xf>
    <xf numFmtId="0" fontId="52" fillId="8" borderId="1" xfId="0" applyFont="1" applyFill="1" applyBorder="1" applyAlignment="1">
      <alignment vertical="center" wrapText="1"/>
    </xf>
    <xf numFmtId="168" fontId="52" fillId="8" borderId="1" xfId="0" applyNumberFormat="1" applyFont="1" applyFill="1" applyBorder="1" applyAlignment="1">
      <alignment horizontal="left" vertical="center" wrapText="1"/>
    </xf>
    <xf numFmtId="0" fontId="71" fillId="8" borderId="1" xfId="0" applyFont="1" applyFill="1" applyBorder="1" applyAlignment="1">
      <alignment vertical="center" wrapText="1"/>
    </xf>
    <xf numFmtId="168" fontId="71" fillId="8" borderId="1" xfId="0" applyNumberFormat="1" applyFont="1" applyFill="1" applyBorder="1" applyAlignment="1">
      <alignment horizontal="left" vertical="center" wrapText="1"/>
    </xf>
    <xf numFmtId="168" fontId="71" fillId="8" borderId="1" xfId="0" applyNumberFormat="1" applyFont="1" applyFill="1" applyBorder="1" applyAlignment="1">
      <alignment horizontal="center" vertical="center" wrapText="1"/>
    </xf>
    <xf numFmtId="0" fontId="44" fillId="43" borderId="1" xfId="0" applyFont="1" applyFill="1" applyBorder="1" applyAlignment="1">
      <alignment vertical="center" wrapText="1"/>
    </xf>
    <xf numFmtId="168" fontId="44" fillId="43" borderId="1" xfId="0" applyNumberFormat="1" applyFont="1" applyFill="1" applyBorder="1" applyAlignment="1">
      <alignment horizontal="left" vertical="center" wrapText="1"/>
    </xf>
    <xf numFmtId="0" fontId="10" fillId="8" borderId="1" xfId="0" applyFont="1" applyFill="1" applyBorder="1" applyAlignment="1">
      <alignment vertical="top" wrapText="1"/>
    </xf>
    <xf numFmtId="168" fontId="71" fillId="8" borderId="1" xfId="0" applyNumberFormat="1" applyFont="1" applyFill="1" applyBorder="1" applyAlignment="1">
      <alignment vertical="center" wrapText="1"/>
    </xf>
    <xf numFmtId="0" fontId="96" fillId="4" borderId="0" xfId="0" applyFont="1" applyFill="1" applyAlignment="1">
      <alignment horizontal="left" vertical="top" wrapText="1"/>
    </xf>
    <xf numFmtId="167" fontId="96" fillId="4" borderId="0" xfId="0" applyNumberFormat="1" applyFont="1" applyFill="1" applyAlignment="1">
      <alignment horizontal="center" vertical="top" wrapText="1"/>
    </xf>
    <xf numFmtId="0" fontId="97" fillId="4" borderId="0" xfId="0" applyFont="1" applyFill="1" applyAlignment="1">
      <alignment horizontal="left" vertical="top" wrapText="1"/>
    </xf>
    <xf numFmtId="167" fontId="97" fillId="4" borderId="0" xfId="0" applyNumberFormat="1" applyFont="1" applyFill="1" applyAlignment="1">
      <alignment horizontal="center" vertical="top" wrapText="1"/>
    </xf>
    <xf numFmtId="0" fontId="20" fillId="4" borderId="0" xfId="0" applyFont="1" applyFill="1"/>
    <xf numFmtId="0" fontId="0" fillId="4" borderId="0" xfId="0" applyFill="1"/>
    <xf numFmtId="0" fontId="98" fillId="43" borderId="1" xfId="61" applyFont="1" applyFill="1" applyBorder="1" applyAlignment="1">
      <alignment vertical="center" wrapText="1"/>
    </xf>
    <xf numFmtId="168" fontId="99" fillId="8" borderId="1" xfId="0" applyNumberFormat="1" applyFont="1" applyFill="1" applyBorder="1" applyAlignment="1">
      <alignment horizontal="left" vertical="center" wrapText="1"/>
    </xf>
    <xf numFmtId="168" fontId="44" fillId="8" borderId="1" xfId="0" applyNumberFormat="1" applyFont="1" applyFill="1" applyBorder="1" applyAlignment="1">
      <alignment horizontal="center" vertical="center" wrapText="1"/>
    </xf>
    <xf numFmtId="168" fontId="99" fillId="8" borderId="1" xfId="0" applyNumberFormat="1" applyFont="1" applyFill="1" applyBorder="1" applyAlignment="1">
      <alignment horizontal="center" vertical="center" wrapText="1"/>
    </xf>
    <xf numFmtId="0" fontId="12" fillId="8" borderId="1" xfId="0" applyFont="1" applyFill="1" applyBorder="1" applyAlignment="1">
      <alignment vertical="top" wrapText="1"/>
    </xf>
    <xf numFmtId="168" fontId="44" fillId="8" borderId="1" xfId="0" applyNumberFormat="1" applyFont="1" applyFill="1" applyBorder="1" applyAlignment="1">
      <alignment horizontal="left" vertical="center" wrapText="1"/>
    </xf>
    <xf numFmtId="0" fontId="44" fillId="44" borderId="2" xfId="0" applyFont="1" applyFill="1" applyBorder="1" applyAlignment="1">
      <alignment horizontal="left" vertical="center" wrapText="1"/>
    </xf>
    <xf numFmtId="0" fontId="2" fillId="6" borderId="1" xfId="0" applyFont="1" applyFill="1" applyBorder="1" applyAlignment="1">
      <alignment vertical="center" wrapText="1"/>
    </xf>
    <xf numFmtId="0" fontId="7" fillId="5" borderId="1" xfId="0" applyFont="1" applyFill="1" applyBorder="1" applyAlignment="1">
      <alignment horizontal="center" vertical="center" wrapText="1"/>
    </xf>
    <xf numFmtId="0" fontId="7" fillId="2" borderId="15" xfId="0" applyFont="1" applyFill="1" applyBorder="1" applyAlignment="1">
      <alignment vertical="center" textRotation="90" wrapText="1"/>
    </xf>
    <xf numFmtId="0" fontId="90" fillId="8" borderId="5" xfId="0" applyFont="1" applyFill="1" applyBorder="1" applyAlignment="1">
      <alignment vertical="center" wrapText="1"/>
    </xf>
    <xf numFmtId="167" fontId="2" fillId="6" borderId="1" xfId="0" applyNumberFormat="1" applyFont="1" applyFill="1" applyBorder="1" applyAlignment="1">
      <alignment vertical="center" wrapText="1"/>
    </xf>
    <xf numFmtId="1" fontId="7" fillId="5" borderId="1" xfId="0" applyNumberFormat="1" applyFont="1" applyFill="1" applyBorder="1" applyAlignment="1">
      <alignment horizontal="center" vertical="center" wrapText="1"/>
    </xf>
    <xf numFmtId="166" fontId="47" fillId="8" borderId="1" xfId="59" applyNumberFormat="1" applyFont="1" applyFill="1" applyBorder="1" applyAlignment="1">
      <alignment horizontal="right" vertical="top"/>
    </xf>
    <xf numFmtId="1" fontId="7" fillId="6" borderId="1" xfId="0" applyNumberFormat="1" applyFont="1" applyFill="1" applyBorder="1" applyAlignment="1">
      <alignment horizontal="center" vertical="center" wrapText="1"/>
    </xf>
    <xf numFmtId="1" fontId="7" fillId="5" borderId="7" xfId="0" applyNumberFormat="1" applyFont="1" applyFill="1" applyBorder="1" applyAlignment="1">
      <alignment horizontal="center" vertical="center" wrapText="1"/>
    </xf>
    <xf numFmtId="0" fontId="93" fillId="6" borderId="1" xfId="0" applyFont="1" applyFill="1" applyBorder="1" applyAlignment="1">
      <alignment vertical="center" wrapText="1"/>
    </xf>
    <xf numFmtId="49" fontId="4" fillId="6" borderId="1" xfId="0" applyNumberFormat="1" applyFont="1" applyFill="1" applyBorder="1" applyAlignment="1">
      <alignment vertical="center" wrapText="1"/>
    </xf>
    <xf numFmtId="0" fontId="100" fillId="0" borderId="0" xfId="0" applyFont="1"/>
    <xf numFmtId="0" fontId="77" fillId="0" borderId="0" xfId="0" applyFont="1"/>
    <xf numFmtId="1" fontId="77" fillId="0" borderId="0" xfId="0" applyNumberFormat="1" applyFont="1"/>
    <xf numFmtId="0" fontId="5" fillId="0" borderId="0" xfId="0" applyFont="1" applyAlignment="1">
      <alignment vertical="center"/>
    </xf>
    <xf numFmtId="0" fontId="7" fillId="2"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0" fillId="6" borderId="1" xfId="0" applyFill="1" applyBorder="1" applyAlignment="1">
      <alignment horizontal="center"/>
    </xf>
    <xf numFmtId="0" fontId="101" fillId="6" borderId="1" xfId="0" applyFont="1" applyFill="1" applyBorder="1" applyAlignment="1">
      <alignment vertical="center" wrapText="1"/>
    </xf>
    <xf numFmtId="0" fontId="5" fillId="8" borderId="1" xfId="0" applyFont="1" applyFill="1" applyBorder="1" applyAlignment="1">
      <alignment vertical="center" wrapText="1"/>
    </xf>
    <xf numFmtId="4" fontId="7" fillId="6" borderId="5" xfId="0" applyNumberFormat="1" applyFont="1" applyFill="1" applyBorder="1" applyAlignment="1">
      <alignment horizontal="center" vertical="center" wrapText="1"/>
    </xf>
    <xf numFmtId="0" fontId="7" fillId="6" borderId="5" xfId="0" applyFont="1" applyFill="1" applyBorder="1" applyAlignment="1">
      <alignment horizontal="left" vertical="center" wrapText="1"/>
    </xf>
    <xf numFmtId="4" fontId="7" fillId="6" borderId="1" xfId="0" applyNumberFormat="1" applyFont="1" applyFill="1" applyBorder="1" applyAlignment="1">
      <alignment horizontal="center"/>
    </xf>
    <xf numFmtId="166" fontId="7" fillId="6" borderId="5" xfId="0" applyNumberFormat="1" applyFont="1" applyFill="1" applyBorder="1" applyAlignment="1">
      <alignment horizontal="center" vertical="center" wrapText="1"/>
    </xf>
    <xf numFmtId="167" fontId="7" fillId="6" borderId="5" xfId="0" applyNumberFormat="1" applyFont="1" applyFill="1" applyBorder="1" applyAlignment="1">
      <alignment horizontal="center" vertical="center" wrapText="1"/>
    </xf>
    <xf numFmtId="167" fontId="0" fillId="6" borderId="1" xfId="0" applyNumberFormat="1" applyFill="1" applyBorder="1" applyAlignment="1">
      <alignment horizontal="center"/>
    </xf>
    <xf numFmtId="166" fontId="7" fillId="42" borderId="1" xfId="0" applyNumberFormat="1" applyFont="1" applyFill="1" applyBorder="1" applyAlignment="1">
      <alignment horizontal="center" vertical="center" wrapText="1"/>
    </xf>
    <xf numFmtId="166" fontId="7" fillId="6" borderId="1" xfId="0" applyNumberFormat="1" applyFont="1" applyFill="1" applyBorder="1" applyAlignment="1">
      <alignment horizontal="center"/>
    </xf>
    <xf numFmtId="166" fontId="11" fillId="0" borderId="0" xfId="0" applyNumberFormat="1" applyFont="1"/>
    <xf numFmtId="0" fontId="3" fillId="6" borderId="9" xfId="0" applyFont="1" applyFill="1" applyBorder="1" applyAlignment="1">
      <alignment vertical="center" wrapText="1"/>
    </xf>
    <xf numFmtId="0" fontId="70" fillId="6" borderId="1" xfId="0" applyFont="1" applyFill="1" applyBorder="1" applyAlignment="1">
      <alignment horizontal="left" vertical="top"/>
    </xf>
    <xf numFmtId="0" fontId="7" fillId="6" borderId="5" xfId="0" applyFont="1" applyFill="1" applyBorder="1" applyAlignment="1">
      <alignment horizontal="center" vertical="top" wrapText="1"/>
    </xf>
    <xf numFmtId="0" fontId="10" fillId="6" borderId="1" xfId="0" applyFont="1" applyFill="1" applyBorder="1" applyAlignment="1">
      <alignment vertical="top" wrapText="1"/>
    </xf>
    <xf numFmtId="0" fontId="13" fillId="6" borderId="1" xfId="0" applyFont="1" applyFill="1" applyBorder="1" applyAlignment="1">
      <alignment horizontal="center" vertical="top" wrapText="1"/>
    </xf>
    <xf numFmtId="2" fontId="7" fillId="6" borderId="5" xfId="0" applyNumberFormat="1" applyFont="1" applyFill="1" applyBorder="1" applyAlignment="1">
      <alignment horizontal="center" vertical="top" wrapText="1"/>
    </xf>
    <xf numFmtId="0" fontId="21" fillId="6" borderId="1" xfId="0" applyFont="1" applyFill="1" applyBorder="1" applyAlignment="1">
      <alignment vertical="top" wrapText="1"/>
    </xf>
    <xf numFmtId="0" fontId="47" fillId="6" borderId="1" xfId="0" applyFont="1" applyFill="1" applyBorder="1" applyAlignment="1">
      <alignment vertical="top" wrapText="1"/>
    </xf>
    <xf numFmtId="0" fontId="71" fillId="0" borderId="3" xfId="0" applyFont="1" applyBorder="1" applyAlignment="1">
      <alignment vertical="top" wrapText="1"/>
    </xf>
    <xf numFmtId="0" fontId="7" fillId="6" borderId="1" xfId="0" applyFont="1" applyFill="1" applyBorder="1" applyAlignment="1">
      <alignment horizontal="left" vertical="top" wrapText="1"/>
    </xf>
    <xf numFmtId="0" fontId="13" fillId="6" borderId="6" xfId="0" applyFont="1" applyFill="1" applyBorder="1" applyAlignment="1">
      <alignment vertical="top" wrapText="1"/>
    </xf>
    <xf numFmtId="0" fontId="71" fillId="6" borderId="1" xfId="0" applyFont="1" applyFill="1" applyBorder="1" applyAlignment="1">
      <alignment horizontal="left" vertical="top" wrapText="1"/>
    </xf>
    <xf numFmtId="0" fontId="84" fillId="6" borderId="1" xfId="0" applyFont="1" applyFill="1" applyBorder="1" applyAlignment="1">
      <alignment vertical="top" wrapText="1"/>
    </xf>
    <xf numFmtId="2" fontId="7" fillId="6" borderId="1" xfId="0" applyNumberFormat="1" applyFont="1" applyFill="1" applyBorder="1" applyAlignment="1">
      <alignment horizontal="center" vertical="center" wrapText="1"/>
    </xf>
    <xf numFmtId="0" fontId="13" fillId="6" borderId="5" xfId="0" applyFont="1" applyFill="1" applyBorder="1" applyAlignment="1">
      <alignment vertical="top" wrapText="1"/>
    </xf>
    <xf numFmtId="2" fontId="11" fillId="6" borderId="1" xfId="0" applyNumberFormat="1" applyFont="1" applyFill="1" applyBorder="1" applyAlignment="1">
      <alignment horizontal="center"/>
    </xf>
    <xf numFmtId="0" fontId="58" fillId="0" borderId="0" xfId="0" applyFont="1"/>
    <xf numFmtId="3" fontId="93" fillId="8" borderId="1" xfId="0" applyNumberFormat="1" applyFont="1" applyFill="1" applyBorder="1" applyAlignment="1">
      <alignment vertical="center" wrapText="1"/>
    </xf>
    <xf numFmtId="0" fontId="47" fillId="6" borderId="1" xfId="0" applyFont="1" applyFill="1" applyBorder="1" applyAlignment="1">
      <alignment vertical="center" wrapText="1"/>
    </xf>
    <xf numFmtId="0" fontId="93" fillId="8" borderId="9" xfId="0" applyFont="1" applyFill="1" applyBorder="1" applyAlignment="1">
      <alignment vertical="center" wrapText="1"/>
    </xf>
    <xf numFmtId="0" fontId="93" fillId="8" borderId="5" xfId="0" applyFont="1" applyFill="1" applyBorder="1" applyAlignment="1">
      <alignment vertical="center" wrapText="1"/>
    </xf>
    <xf numFmtId="166" fontId="68" fillId="8" borderId="6" xfId="59" applyNumberFormat="1" applyFont="1" applyFill="1" applyBorder="1" applyAlignment="1">
      <alignment horizontal="right" vertical="center"/>
    </xf>
    <xf numFmtId="0" fontId="109" fillId="42" borderId="1" xfId="0" applyFont="1" applyFill="1" applyBorder="1" applyAlignment="1">
      <alignment vertical="center" wrapText="1"/>
    </xf>
    <xf numFmtId="167" fontId="91" fillId="42" borderId="1" xfId="0" applyNumberFormat="1" applyFont="1" applyFill="1" applyBorder="1" applyAlignment="1">
      <alignment horizontal="center" vertical="center" wrapText="1"/>
    </xf>
    <xf numFmtId="167" fontId="88" fillId="42" borderId="1" xfId="0" applyNumberFormat="1" applyFont="1" applyFill="1" applyBorder="1" applyAlignment="1">
      <alignment vertical="center" wrapText="1"/>
    </xf>
    <xf numFmtId="167" fontId="89" fillId="6" borderId="1" xfId="0" applyNumberFormat="1" applyFont="1" applyFill="1" applyBorder="1" applyAlignment="1">
      <alignment vertical="center" wrapText="1"/>
    </xf>
    <xf numFmtId="167" fontId="89" fillId="44" borderId="1" xfId="0" applyNumberFormat="1" applyFont="1" applyFill="1" applyBorder="1" applyAlignment="1">
      <alignment vertical="center" wrapText="1"/>
    </xf>
    <xf numFmtId="0" fontId="3" fillId="6" borderId="9" xfId="0" applyFont="1" applyFill="1" applyBorder="1" applyAlignment="1">
      <alignment horizontal="center" vertical="center" wrapText="1"/>
    </xf>
    <xf numFmtId="169" fontId="2" fillId="6" borderId="1" xfId="0" applyNumberFormat="1" applyFont="1" applyFill="1" applyBorder="1" applyAlignment="1">
      <alignment vertical="center" wrapText="1"/>
    </xf>
    <xf numFmtId="0" fontId="5" fillId="8" borderId="6" xfId="0" applyFont="1" applyFill="1" applyBorder="1" applyAlignment="1">
      <alignment horizontal="center" vertical="center" wrapText="1"/>
    </xf>
    <xf numFmtId="0" fontId="12" fillId="0" borderId="0" xfId="63" applyFont="1" applyBorder="1" applyAlignment="1">
      <alignment vertical="center" wrapText="1"/>
    </xf>
    <xf numFmtId="0" fontId="110" fillId="0" borderId="0" xfId="64" applyFont="1" applyAlignment="1">
      <alignment vertical="center"/>
    </xf>
    <xf numFmtId="0" fontId="1" fillId="0" borderId="0" xfId="64" applyFont="1" applyAlignment="1">
      <alignment vertical="center"/>
    </xf>
    <xf numFmtId="167" fontId="13" fillId="0" borderId="0" xfId="64" applyNumberFormat="1" applyFont="1" applyAlignment="1">
      <alignment vertical="center"/>
    </xf>
    <xf numFmtId="0" fontId="24" fillId="0" borderId="0" xfId="64"/>
    <xf numFmtId="167" fontId="65" fillId="5" borderId="19" xfId="64" applyNumberFormat="1" applyFont="1" applyFill="1" applyBorder="1" applyAlignment="1">
      <alignment horizontal="center" vertical="center" wrapText="1"/>
    </xf>
    <xf numFmtId="0" fontId="65" fillId="5" borderId="6" xfId="64" applyFont="1" applyFill="1" applyBorder="1" applyAlignment="1">
      <alignment horizontal="center" vertical="center" textRotation="90" wrapText="1"/>
    </xf>
    <xf numFmtId="0" fontId="65" fillId="5" borderId="6" xfId="64" applyFont="1" applyFill="1" applyBorder="1" applyAlignment="1">
      <alignment horizontal="center" vertical="center" textRotation="90"/>
    </xf>
    <xf numFmtId="0" fontId="65" fillId="5" borderId="43" xfId="64" applyFont="1" applyFill="1" applyBorder="1" applyAlignment="1">
      <alignment horizontal="center" vertical="center" textRotation="90" wrapText="1"/>
    </xf>
    <xf numFmtId="0" fontId="65" fillId="5" borderId="34" xfId="64" applyFont="1" applyFill="1" applyBorder="1" applyAlignment="1">
      <alignment horizontal="center" vertical="center" textRotation="90" wrapText="1"/>
    </xf>
    <xf numFmtId="0" fontId="24" fillId="0" borderId="0" xfId="64" applyAlignment="1">
      <alignment horizontal="center" vertical="center"/>
    </xf>
    <xf numFmtId="0" fontId="47" fillId="0" borderId="39" xfId="62" applyFont="1" applyFill="1" applyBorder="1" applyAlignment="1">
      <alignment horizontal="left" vertical="top" wrapText="1"/>
    </xf>
    <xf numFmtId="0" fontId="47" fillId="0" borderId="5" xfId="62" applyFont="1" applyFill="1" applyBorder="1" applyAlignment="1">
      <alignment horizontal="left" vertical="top" wrapText="1"/>
    </xf>
    <xf numFmtId="0" fontId="90" fillId="0" borderId="32" xfId="62" applyFont="1" applyFill="1" applyBorder="1" applyAlignment="1">
      <alignment horizontal="left" vertical="top" wrapText="1"/>
    </xf>
    <xf numFmtId="165" fontId="90" fillId="0" borderId="11" xfId="59" applyNumberFormat="1" applyFont="1" applyFill="1" applyBorder="1" applyAlignment="1" applyProtection="1">
      <alignment horizontal="right" vertical="top" wrapText="1"/>
    </xf>
    <xf numFmtId="165" fontId="90" fillId="0" borderId="12" xfId="59" applyNumberFormat="1" applyFont="1" applyFill="1" applyBorder="1" applyAlignment="1" applyProtection="1">
      <alignment horizontal="right" vertical="top" wrapText="1"/>
    </xf>
    <xf numFmtId="165" fontId="90" fillId="0" borderId="13" xfId="59" applyNumberFormat="1" applyFont="1" applyFill="1" applyBorder="1" applyAlignment="1" applyProtection="1">
      <alignment horizontal="right" vertical="top" wrapText="1"/>
    </xf>
    <xf numFmtId="165" fontId="90" fillId="0" borderId="44" xfId="59" applyNumberFormat="1" applyFont="1" applyFill="1" applyBorder="1" applyAlignment="1" applyProtection="1">
      <alignment horizontal="right" vertical="top" wrapText="1"/>
    </xf>
    <xf numFmtId="0" fontId="27" fillId="0" borderId="0" xfId="62" applyFont="1" applyFill="1" applyAlignment="1">
      <alignment horizontal="left" vertical="top" wrapText="1"/>
    </xf>
    <xf numFmtId="0" fontId="47" fillId="0" borderId="14" xfId="62" applyFont="1" applyFill="1" applyBorder="1" applyAlignment="1">
      <alignment horizontal="center" vertical="top" wrapText="1"/>
    </xf>
    <xf numFmtId="0" fontId="47" fillId="0" borderId="1" xfId="62" applyFont="1" applyFill="1" applyBorder="1" applyAlignment="1">
      <alignment horizontal="left" vertical="top" wrapText="1"/>
    </xf>
    <xf numFmtId="0" fontId="47" fillId="0" borderId="2" xfId="62" applyFont="1" applyFill="1" applyBorder="1" applyAlignment="1">
      <alignment horizontal="left" vertical="top" wrapText="1"/>
    </xf>
    <xf numFmtId="165" fontId="5" fillId="0" borderId="14" xfId="59" applyNumberFormat="1" applyFont="1" applyFill="1" applyBorder="1" applyAlignment="1" applyProtection="1">
      <alignment horizontal="right" vertical="top" wrapText="1"/>
    </xf>
    <xf numFmtId="165" fontId="5" fillId="0" borderId="1" xfId="59" applyNumberFormat="1" applyFont="1" applyFill="1" applyBorder="1" applyAlignment="1" applyProtection="1">
      <alignment horizontal="right" vertical="top" wrapText="1"/>
    </xf>
    <xf numFmtId="165" fontId="5" fillId="0" borderId="15" xfId="59" applyNumberFormat="1" applyFont="1" applyFill="1" applyBorder="1" applyAlignment="1" applyProtection="1">
      <alignment horizontal="right" vertical="top" wrapText="1"/>
    </xf>
    <xf numFmtId="165" fontId="5" fillId="0" borderId="7" xfId="59" applyNumberFormat="1" applyFont="1" applyFill="1" applyBorder="1" applyAlignment="1" applyProtection="1">
      <alignment horizontal="right" vertical="top" wrapText="1"/>
    </xf>
    <xf numFmtId="0" fontId="47" fillId="0" borderId="14" xfId="62" applyFont="1" applyFill="1" applyBorder="1" applyAlignment="1">
      <alignment horizontal="left" vertical="top" wrapText="1"/>
    </xf>
    <xf numFmtId="0" fontId="47" fillId="0" borderId="1" xfId="62" applyFont="1" applyFill="1" applyBorder="1" applyAlignment="1">
      <alignment horizontal="center" vertical="top" wrapText="1"/>
    </xf>
    <xf numFmtId="170" fontId="47" fillId="0" borderId="14" xfId="59" applyNumberFormat="1" applyFont="1" applyFill="1" applyBorder="1" applyAlignment="1">
      <alignment horizontal="right" vertical="top" wrapText="1"/>
    </xf>
    <xf numFmtId="165" fontId="47" fillId="0" borderId="1" xfId="59" applyNumberFormat="1" applyFont="1" applyFill="1" applyBorder="1" applyAlignment="1">
      <alignment horizontal="right" vertical="top" wrapText="1"/>
    </xf>
    <xf numFmtId="165" fontId="47" fillId="0" borderId="1" xfId="59" applyNumberFormat="1" applyFont="1" applyFill="1" applyBorder="1" applyAlignment="1">
      <alignment horizontal="left" vertical="top" wrapText="1"/>
    </xf>
    <xf numFmtId="165" fontId="47" fillId="0" borderId="15" xfId="59" applyNumberFormat="1" applyFont="1" applyFill="1" applyBorder="1" applyAlignment="1">
      <alignment horizontal="left" vertical="top" wrapText="1"/>
    </xf>
    <xf numFmtId="165" fontId="27" fillId="0" borderId="1" xfId="59" applyNumberFormat="1" applyFont="1" applyFill="1" applyBorder="1" applyAlignment="1">
      <alignment horizontal="left" vertical="top" wrapText="1"/>
    </xf>
    <xf numFmtId="165" fontId="27" fillId="0" borderId="15" xfId="59" applyNumberFormat="1" applyFont="1" applyFill="1" applyBorder="1" applyAlignment="1">
      <alignment horizontal="left" vertical="top" wrapText="1"/>
    </xf>
    <xf numFmtId="0" fontId="90" fillId="0" borderId="14" xfId="62" applyFont="1" applyFill="1" applyBorder="1" applyAlignment="1">
      <alignment horizontal="center" vertical="top" wrapText="1"/>
    </xf>
    <xf numFmtId="165" fontId="47" fillId="0" borderId="14" xfId="59" applyNumberFormat="1" applyFont="1" applyFill="1" applyBorder="1" applyAlignment="1">
      <alignment horizontal="right" vertical="top" wrapText="1"/>
    </xf>
    <xf numFmtId="165" fontId="90" fillId="0" borderId="7" xfId="59" applyNumberFormat="1" applyFont="1" applyFill="1" applyBorder="1" applyAlignment="1">
      <alignment horizontal="right" vertical="top" wrapText="1"/>
    </xf>
    <xf numFmtId="165" fontId="90" fillId="0" borderId="14" xfId="59" applyNumberFormat="1" applyFont="1" applyFill="1" applyBorder="1" applyAlignment="1">
      <alignment horizontal="right" vertical="top" wrapText="1"/>
    </xf>
    <xf numFmtId="0" fontId="23" fillId="0" borderId="0" xfId="62" applyFill="1" applyAlignment="1">
      <alignment horizontal="left" vertical="top" wrapText="1"/>
    </xf>
    <xf numFmtId="165" fontId="90" fillId="0" borderId="1" xfId="59" applyNumberFormat="1" applyFont="1" applyFill="1" applyBorder="1" applyAlignment="1">
      <alignment horizontal="right" vertical="top" wrapText="1"/>
    </xf>
    <xf numFmtId="165" fontId="47" fillId="0" borderId="15" xfId="59" applyNumberFormat="1" applyFont="1" applyFill="1" applyBorder="1" applyAlignment="1">
      <alignment horizontal="right" vertical="top" wrapText="1"/>
    </xf>
    <xf numFmtId="0" fontId="47" fillId="0" borderId="16" xfId="62" applyFont="1" applyFill="1" applyBorder="1" applyAlignment="1">
      <alignment horizontal="left" vertical="top" wrapText="1"/>
    </xf>
    <xf numFmtId="0" fontId="47" fillId="0" borderId="41" xfId="62" applyFont="1" applyFill="1" applyBorder="1" applyAlignment="1">
      <alignment horizontal="center" vertical="top" wrapText="1"/>
    </xf>
    <xf numFmtId="165" fontId="47" fillId="0" borderId="41" xfId="59" applyNumberFormat="1" applyFont="1" applyFill="1" applyBorder="1" applyAlignment="1">
      <alignment horizontal="left" vertical="top" wrapText="1"/>
    </xf>
    <xf numFmtId="165" fontId="47" fillId="0" borderId="41" xfId="59" applyNumberFormat="1" applyFont="1" applyFill="1" applyBorder="1" applyAlignment="1">
      <alignment horizontal="right" vertical="top" wrapText="1"/>
    </xf>
    <xf numFmtId="165" fontId="47" fillId="0" borderId="42" xfId="59" applyNumberFormat="1" applyFont="1" applyFill="1" applyBorder="1" applyAlignment="1">
      <alignment horizontal="left" vertical="top" wrapText="1"/>
    </xf>
    <xf numFmtId="165" fontId="27" fillId="0" borderId="41" xfId="59" applyNumberFormat="1" applyFont="1" applyFill="1" applyBorder="1" applyAlignment="1">
      <alignment horizontal="left" vertical="top" wrapText="1"/>
    </xf>
    <xf numFmtId="165" fontId="27" fillId="0" borderId="42" xfId="59" applyNumberFormat="1" applyFont="1" applyFill="1" applyBorder="1" applyAlignment="1">
      <alignment horizontal="left" vertical="top" wrapText="1"/>
    </xf>
    <xf numFmtId="0" fontId="15" fillId="0" borderId="0" xfId="0" applyFont="1"/>
    <xf numFmtId="170" fontId="90" fillId="0" borderId="14" xfId="59" applyNumberFormat="1" applyFont="1" applyFill="1" applyBorder="1" applyAlignment="1">
      <alignment horizontal="right" vertical="top" wrapText="1"/>
    </xf>
    <xf numFmtId="165" fontId="90" fillId="0" borderId="16" xfId="59" applyNumberFormat="1" applyFont="1" applyFill="1" applyBorder="1" applyAlignment="1">
      <alignment horizontal="right" vertical="top" wrapText="1"/>
    </xf>
    <xf numFmtId="165" fontId="90" fillId="0" borderId="17" xfId="59" applyNumberFormat="1" applyFont="1" applyFill="1" applyBorder="1" applyAlignment="1">
      <alignment horizontal="right" vertical="top" wrapText="1"/>
    </xf>
    <xf numFmtId="165" fontId="90" fillId="0" borderId="7" xfId="59" applyNumberFormat="1" applyFont="1" applyFill="1" applyBorder="1" applyAlignment="1">
      <alignment horizontal="left" vertical="top" wrapText="1"/>
    </xf>
    <xf numFmtId="165" fontId="7" fillId="0" borderId="1" xfId="59" applyNumberFormat="1" applyFont="1" applyFill="1" applyBorder="1" applyAlignment="1" applyProtection="1">
      <alignment horizontal="right" vertical="top" wrapText="1"/>
    </xf>
    <xf numFmtId="0" fontId="111" fillId="0" borderId="0" xfId="0" applyFont="1"/>
    <xf numFmtId="0" fontId="56" fillId="0" borderId="0" xfId="0" applyFont="1"/>
    <xf numFmtId="166" fontId="0" fillId="0" borderId="0" xfId="0" applyNumberFormat="1"/>
    <xf numFmtId="0" fontId="5" fillId="8" borderId="34" xfId="0" applyFont="1" applyFill="1" applyBorder="1" applyAlignment="1">
      <alignment horizontal="center" vertical="center" wrapText="1"/>
    </xf>
    <xf numFmtId="4" fontId="68" fillId="8" borderId="1" xfId="59" applyNumberFormat="1" applyFont="1" applyFill="1" applyBorder="1" applyAlignment="1">
      <alignment horizontal="right" vertical="center"/>
    </xf>
    <xf numFmtId="171" fontId="68" fillId="8" borderId="1" xfId="59" applyNumberFormat="1" applyFont="1" applyFill="1" applyBorder="1" applyAlignment="1">
      <alignment horizontal="right" vertical="center"/>
    </xf>
    <xf numFmtId="171" fontId="94" fillId="8" borderId="1" xfId="59" applyNumberFormat="1" applyFont="1" applyFill="1" applyBorder="1" applyAlignment="1">
      <alignment horizontal="right" vertical="center"/>
    </xf>
    <xf numFmtId="172" fontId="94" fillId="8" borderId="1" xfId="59" applyNumberFormat="1" applyFont="1" applyFill="1" applyBorder="1" applyAlignment="1">
      <alignment horizontal="right" vertical="center"/>
    </xf>
    <xf numFmtId="173" fontId="90" fillId="0" borderId="44" xfId="59" applyNumberFormat="1" applyFont="1" applyFill="1" applyBorder="1" applyAlignment="1" applyProtection="1">
      <alignment horizontal="right" vertical="top" wrapText="1"/>
    </xf>
    <xf numFmtId="167" fontId="2" fillId="6" borderId="1" xfId="0" applyNumberFormat="1" applyFont="1" applyFill="1" applyBorder="1" applyAlignment="1">
      <alignment horizontal="center" vertical="center" wrapText="1"/>
    </xf>
    <xf numFmtId="167" fontId="13" fillId="5" borderId="1" xfId="0" applyNumberFormat="1" applyFont="1" applyFill="1" applyBorder="1" applyAlignment="1">
      <alignment horizontal="center" vertical="center" wrapText="1"/>
    </xf>
    <xf numFmtId="2" fontId="13" fillId="5" borderId="1" xfId="0" applyNumberFormat="1" applyFont="1" applyFill="1" applyBorder="1" applyAlignment="1">
      <alignment horizontal="center" vertical="center" wrapText="1"/>
    </xf>
    <xf numFmtId="167" fontId="13" fillId="6"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42"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13" fillId="41" borderId="1" xfId="0" applyFont="1" applyFill="1" applyBorder="1" applyAlignment="1">
      <alignment horizontal="left" vertical="center" wrapText="1"/>
    </xf>
    <xf numFmtId="0" fontId="13" fillId="41" borderId="6" xfId="0" applyFont="1" applyFill="1" applyBorder="1" applyAlignment="1">
      <alignment horizontal="center" vertical="center" wrapText="1"/>
    </xf>
    <xf numFmtId="0" fontId="13" fillId="41" borderId="5" xfId="0" applyFont="1" applyFill="1" applyBorder="1" applyAlignment="1">
      <alignment horizontal="center" vertical="center" wrapText="1"/>
    </xf>
    <xf numFmtId="0" fontId="0" fillId="0" borderId="0" xfId="0" applyAlignment="1">
      <alignment horizontal="center"/>
    </xf>
    <xf numFmtId="0" fontId="0" fillId="6" borderId="1" xfId="0" applyFill="1" applyBorder="1" applyAlignment="1">
      <alignment horizontal="center"/>
    </xf>
    <xf numFmtId="0" fontId="1" fillId="0" borderId="0" xfId="0" applyFont="1" applyAlignment="1">
      <alignment horizontal="center" vertical="center"/>
    </xf>
    <xf numFmtId="0" fontId="70" fillId="6" borderId="1" xfId="0" applyFont="1" applyFill="1" applyBorder="1" applyAlignment="1">
      <alignment horizontal="left" vertical="center" wrapText="1"/>
    </xf>
    <xf numFmtId="0" fontId="70" fillId="6" borderId="1" xfId="0" applyFont="1" applyFill="1" applyBorder="1" applyAlignment="1">
      <alignment horizontal="left" vertical="top" wrapText="1"/>
    </xf>
    <xf numFmtId="0" fontId="13" fillId="6" borderId="6" xfId="0" applyFont="1" applyFill="1" applyBorder="1" applyAlignment="1">
      <alignment horizontal="left" vertical="top" wrapText="1"/>
    </xf>
    <xf numFmtId="0" fontId="13" fillId="6" borderId="1" xfId="0" applyFont="1" applyFill="1" applyBorder="1" applyAlignment="1">
      <alignment horizontal="left" vertical="top" wrapText="1"/>
    </xf>
    <xf numFmtId="0" fontId="10" fillId="0" borderId="0" xfId="0" applyFont="1" applyAlignment="1">
      <alignment horizontal="center" vertical="top"/>
    </xf>
    <xf numFmtId="0" fontId="10" fillId="0" borderId="0" xfId="0" applyFont="1" applyAlignment="1">
      <alignment horizontal="left" vertical="top" wrapText="1"/>
    </xf>
    <xf numFmtId="0" fontId="75" fillId="0" borderId="0" xfId="0" applyFont="1" applyAlignment="1">
      <alignment horizontal="left" vertical="top" wrapText="1"/>
    </xf>
    <xf numFmtId="0" fontId="75" fillId="0" borderId="0" xfId="0" applyFont="1" applyAlignment="1">
      <alignment horizontal="center" vertical="top" wrapText="1"/>
    </xf>
    <xf numFmtId="0" fontId="0" fillId="6" borderId="1" xfId="0" applyFill="1" applyBorder="1"/>
    <xf numFmtId="0" fontId="76" fillId="6" borderId="6" xfId="0" applyFont="1" applyFill="1" applyBorder="1" applyAlignment="1">
      <alignment horizontal="left" vertical="top" wrapText="1"/>
    </xf>
    <xf numFmtId="0" fontId="76" fillId="0" borderId="1" xfId="0" applyFont="1" applyBorder="1" applyAlignment="1">
      <alignment horizontal="left" vertical="top" wrapText="1"/>
    </xf>
    <xf numFmtId="0" fontId="0" fillId="0" borderId="0" xfId="0" applyAlignment="1">
      <alignment horizontal="left" vertical="top" wrapText="1"/>
    </xf>
    <xf numFmtId="0" fontId="10" fillId="41" borderId="5" xfId="0" applyFont="1" applyFill="1" applyBorder="1" applyAlignment="1">
      <alignment horizontal="left" vertical="center" wrapText="1"/>
    </xf>
    <xf numFmtId="166" fontId="10" fillId="6" borderId="1" xfId="0" applyNumberFormat="1" applyFont="1" applyFill="1" applyBorder="1" applyAlignment="1">
      <alignment horizontal="left" vertical="top" wrapText="1"/>
    </xf>
    <xf numFmtId="0" fontId="10" fillId="41" borderId="6" xfId="0" applyFont="1" applyFill="1" applyBorder="1" applyAlignment="1">
      <alignment horizontal="center" vertical="center" wrapText="1"/>
    </xf>
    <xf numFmtId="166" fontId="10" fillId="6" borderId="5" xfId="0" applyNumberFormat="1" applyFont="1" applyFill="1" applyBorder="1" applyAlignment="1">
      <alignment horizontal="left" vertical="top" wrapText="1"/>
    </xf>
    <xf numFmtId="166" fontId="10" fillId="41" borderId="5" xfId="0" applyNumberFormat="1" applyFont="1" applyFill="1" applyBorder="1" applyAlignment="1">
      <alignment horizontal="left" vertical="center" wrapText="1"/>
    </xf>
    <xf numFmtId="166" fontId="13" fillId="41" borderId="1" xfId="0" applyNumberFormat="1" applyFont="1" applyFill="1" applyBorder="1" applyAlignment="1">
      <alignment horizontal="left" vertical="top" wrapText="1"/>
    </xf>
    <xf numFmtId="0" fontId="13" fillId="41" borderId="1" xfId="0" applyFont="1" applyFill="1" applyBorder="1" applyAlignment="1">
      <alignment horizontal="left" vertical="top" wrapText="1"/>
    </xf>
    <xf numFmtId="166" fontId="10" fillId="6" borderId="1" xfId="0" applyNumberFormat="1" applyFont="1" applyFill="1" applyBorder="1" applyAlignment="1">
      <alignment horizontal="left" vertical="center" wrapText="1"/>
    </xf>
    <xf numFmtId="0" fontId="13" fillId="41" borderId="6" xfId="0" applyFont="1" applyFill="1" applyBorder="1" applyAlignment="1">
      <alignment horizontal="left" vertical="top" wrapText="1" indent="3"/>
    </xf>
    <xf numFmtId="166" fontId="10" fillId="6" borderId="2" xfId="0" applyNumberFormat="1" applyFont="1" applyFill="1" applyBorder="1" applyAlignment="1">
      <alignment horizontal="left" vertical="center" wrapText="1"/>
    </xf>
    <xf numFmtId="166" fontId="13" fillId="41" borderId="1" xfId="0" applyNumberFormat="1" applyFont="1" applyFill="1" applyBorder="1" applyAlignment="1">
      <alignment horizontal="left" vertical="center" wrapText="1"/>
    </xf>
    <xf numFmtId="0" fontId="70" fillId="6" borderId="1" xfId="0" applyFont="1" applyFill="1" applyBorder="1" applyAlignment="1">
      <alignment horizontal="left"/>
    </xf>
    <xf numFmtId="0" fontId="13" fillId="6" borderId="1" xfId="0" applyFont="1" applyFill="1" applyBorder="1" applyAlignment="1">
      <alignment vertical="top"/>
    </xf>
    <xf numFmtId="0" fontId="13" fillId="6" borderId="1" xfId="0" applyFont="1" applyFill="1" applyBorder="1" applyAlignment="1">
      <alignment vertical="top" wrapText="1"/>
    </xf>
    <xf numFmtId="0" fontId="13" fillId="6" borderId="1" xfId="0" applyFont="1" applyFill="1" applyBorder="1" applyAlignment="1">
      <alignment wrapText="1"/>
    </xf>
    <xf numFmtId="0" fontId="13" fillId="0" borderId="0" xfId="0" applyFont="1" applyAlignment="1">
      <alignment vertical="center" wrapText="1"/>
    </xf>
    <xf numFmtId="0" fontId="13" fillId="6" borderId="1" xfId="0" applyFont="1" applyFill="1" applyBorder="1" applyAlignment="1">
      <alignment vertical="center" wrapText="1"/>
    </xf>
    <xf numFmtId="0" fontId="92" fillId="6" borderId="1" xfId="0" applyFont="1" applyFill="1" applyBorder="1"/>
    <xf numFmtId="166" fontId="10" fillId="46" borderId="5" xfId="0" applyNumberFormat="1" applyFont="1" applyFill="1" applyBorder="1" applyAlignment="1">
      <alignment horizontal="center" vertical="center" wrapText="1"/>
    </xf>
    <xf numFmtId="166" fontId="10" fillId="41" borderId="5" xfId="0" applyNumberFormat="1" applyFont="1" applyFill="1" applyBorder="1" applyAlignment="1">
      <alignment horizontal="center" vertical="center" wrapText="1"/>
    </xf>
    <xf numFmtId="166" fontId="10" fillId="6" borderId="1" xfId="0" applyNumberFormat="1" applyFont="1" applyFill="1" applyBorder="1" applyAlignment="1">
      <alignment horizontal="center" vertical="top" wrapText="1"/>
    </xf>
    <xf numFmtId="166" fontId="13" fillId="41" borderId="1" xfId="0" applyNumberFormat="1" applyFont="1" applyFill="1" applyBorder="1" applyAlignment="1">
      <alignment horizontal="center" vertical="center" wrapText="1"/>
    </xf>
    <xf numFmtId="4" fontId="13" fillId="41" borderId="1" xfId="0" applyNumberFormat="1" applyFont="1" applyFill="1" applyBorder="1" applyAlignment="1">
      <alignment horizontal="center" vertical="center" wrapText="1"/>
    </xf>
    <xf numFmtId="4" fontId="10" fillId="6" borderId="1" xfId="0" applyNumberFormat="1" applyFont="1" applyFill="1" applyBorder="1" applyAlignment="1">
      <alignment horizontal="center" vertical="top" wrapText="1"/>
    </xf>
    <xf numFmtId="4" fontId="10" fillId="6" borderId="2" xfId="0" applyNumberFormat="1" applyFont="1" applyFill="1" applyBorder="1" applyAlignment="1">
      <alignment horizontal="center" vertical="top" wrapText="1"/>
    </xf>
    <xf numFmtId="4" fontId="0" fillId="0" borderId="0" xfId="0" applyNumberFormat="1"/>
    <xf numFmtId="0" fontId="70" fillId="0" borderId="0" xfId="0" applyFont="1" applyAlignment="1">
      <alignment vertical="center"/>
    </xf>
    <xf numFmtId="0" fontId="114" fillId="0" borderId="0" xfId="0" applyFont="1"/>
    <xf numFmtId="0" fontId="70" fillId="0" borderId="0" xfId="0" applyFont="1" applyAlignment="1">
      <alignment horizontal="center" vertical="center"/>
    </xf>
    <xf numFmtId="0" fontId="115" fillId="0" borderId="0" xfId="0" applyFont="1" applyAlignment="1">
      <alignment vertical="center" wrapText="1"/>
    </xf>
    <xf numFmtId="0" fontId="13" fillId="0" borderId="0" xfId="0" applyFont="1" applyAlignment="1">
      <alignment horizontal="left"/>
    </xf>
    <xf numFmtId="0" fontId="70" fillId="0" borderId="0" xfId="0" applyFont="1" applyAlignment="1">
      <alignment horizontal="left" vertical="center"/>
    </xf>
    <xf numFmtId="0" fontId="13" fillId="41" borderId="0" xfId="0" applyFont="1" applyFill="1"/>
    <xf numFmtId="0" fontId="70" fillId="0" borderId="0" xfId="0" applyFont="1"/>
    <xf numFmtId="0" fontId="116" fillId="0" borderId="0" xfId="0" applyFont="1" applyAlignment="1">
      <alignment horizontal="center" vertical="center"/>
    </xf>
    <xf numFmtId="0" fontId="70" fillId="41" borderId="6" xfId="0" applyFont="1" applyFill="1" applyBorder="1" applyAlignment="1">
      <alignment horizontal="left" vertical="center"/>
    </xf>
    <xf numFmtId="0" fontId="70" fillId="6" borderId="1" xfId="0" applyFont="1" applyFill="1" applyBorder="1" applyAlignment="1">
      <alignment vertical="center"/>
    </xf>
    <xf numFmtId="0" fontId="70" fillId="6" borderId="5" xfId="0" applyFont="1" applyFill="1" applyBorder="1" applyAlignment="1">
      <alignment horizontal="center" vertical="center"/>
    </xf>
    <xf numFmtId="0" fontId="13" fillId="6" borderId="1" xfId="0" applyFont="1" applyFill="1" applyBorder="1" applyAlignment="1">
      <alignment horizontal="left" vertical="center" wrapText="1"/>
    </xf>
    <xf numFmtId="0" fontId="65" fillId="6" borderId="1" xfId="0" applyFont="1" applyFill="1" applyBorder="1" applyAlignment="1">
      <alignment vertical="top" wrapText="1"/>
    </xf>
    <xf numFmtId="0" fontId="13" fillId="0" borderId="0" xfId="0" applyFont="1" applyAlignment="1">
      <alignment horizontal="center" vertical="top"/>
    </xf>
    <xf numFmtId="0" fontId="13" fillId="0" borderId="0" xfId="0" applyFont="1" applyAlignment="1">
      <alignment horizontal="left" vertical="top" wrapText="1"/>
    </xf>
    <xf numFmtId="0" fontId="13" fillId="0" borderId="0" xfId="0" applyFont="1" applyAlignment="1">
      <alignment horizontal="center" vertical="top" wrapText="1"/>
    </xf>
    <xf numFmtId="0" fontId="70" fillId="0" borderId="0" xfId="0" applyFont="1" applyAlignment="1">
      <alignment vertical="top"/>
    </xf>
    <xf numFmtId="0" fontId="13" fillId="0" borderId="0" xfId="0" applyFont="1" applyAlignment="1">
      <alignment horizontal="center" vertical="center"/>
    </xf>
    <xf numFmtId="0" fontId="118" fillId="6" borderId="1" xfId="0" applyFont="1" applyFill="1" applyBorder="1" applyAlignment="1">
      <alignment horizontal="left" vertical="top" wrapText="1"/>
    </xf>
    <xf numFmtId="0" fontId="15" fillId="6" borderId="1" xfId="0" applyFont="1" applyFill="1" applyBorder="1" applyAlignment="1">
      <alignment horizontal="left" vertical="top" wrapText="1"/>
    </xf>
    <xf numFmtId="0" fontId="13" fillId="6" borderId="1" xfId="0" applyFont="1" applyFill="1" applyBorder="1" applyAlignment="1">
      <alignment horizontal="right" vertical="center" wrapText="1"/>
    </xf>
    <xf numFmtId="0" fontId="13" fillId="41" borderId="9" xfId="0" applyFont="1" applyFill="1" applyBorder="1" applyAlignment="1">
      <alignment horizontal="center" vertical="center" wrapText="1"/>
    </xf>
    <xf numFmtId="0" fontId="13" fillId="41" borderId="36" xfId="0" applyFont="1" applyFill="1" applyBorder="1" applyAlignment="1">
      <alignment horizontal="center" vertical="center" wrapText="1"/>
    </xf>
    <xf numFmtId="0" fontId="70" fillId="6" borderId="11" xfId="0" applyFont="1" applyFill="1" applyBorder="1" applyAlignment="1">
      <alignment horizontal="left" vertical="top" wrapText="1"/>
    </xf>
    <xf numFmtId="3" fontId="70" fillId="41" borderId="46" xfId="0" applyNumberFormat="1" applyFont="1" applyFill="1" applyBorder="1" applyAlignment="1">
      <alignment horizontal="center" vertical="center" wrapText="1"/>
    </xf>
    <xf numFmtId="166" fontId="13" fillId="6" borderId="12" xfId="0" applyNumberFormat="1" applyFont="1" applyFill="1" applyBorder="1" applyAlignment="1">
      <alignment horizontal="center" vertical="top" wrapText="1"/>
    </xf>
    <xf numFmtId="0" fontId="13" fillId="6" borderId="13" xfId="0" applyFont="1" applyFill="1" applyBorder="1" applyAlignment="1">
      <alignment horizontal="center"/>
    </xf>
    <xf numFmtId="0" fontId="71" fillId="6" borderId="1" xfId="0" applyFont="1" applyFill="1" applyBorder="1" applyAlignment="1">
      <alignment horizontal="left" vertical="center" wrapText="1"/>
    </xf>
    <xf numFmtId="3" fontId="70" fillId="41" borderId="9" xfId="0" applyNumberFormat="1" applyFont="1" applyFill="1" applyBorder="1" applyAlignment="1">
      <alignment horizontal="center" vertical="center" wrapText="1"/>
    </xf>
    <xf numFmtId="166" fontId="13" fillId="6" borderId="5" xfId="0" applyNumberFormat="1" applyFont="1" applyFill="1" applyBorder="1" applyAlignment="1">
      <alignment horizontal="center" vertical="top" wrapText="1"/>
    </xf>
    <xf numFmtId="166" fontId="13" fillId="6" borderId="32" xfId="0" applyNumberFormat="1" applyFont="1" applyFill="1" applyBorder="1" applyAlignment="1">
      <alignment horizontal="center" vertical="top" wrapText="1"/>
    </xf>
    <xf numFmtId="0" fontId="10" fillId="6" borderId="1" xfId="0" applyFont="1" applyFill="1" applyBorder="1" applyAlignment="1">
      <alignment horizontal="left" vertical="center"/>
    </xf>
    <xf numFmtId="0" fontId="10" fillId="6" borderId="1" xfId="1" applyFont="1" applyFill="1" applyBorder="1" applyAlignment="1">
      <alignment horizontal="left" vertical="center" wrapText="1"/>
    </xf>
    <xf numFmtId="3" fontId="13" fillId="41" borderId="6" xfId="0" applyNumberFormat="1" applyFont="1" applyFill="1" applyBorder="1" applyAlignment="1">
      <alignment horizontal="center" vertical="center" wrapText="1"/>
    </xf>
    <xf numFmtId="166" fontId="13" fillId="6" borderId="1" xfId="0" applyNumberFormat="1" applyFont="1" applyFill="1" applyBorder="1" applyAlignment="1">
      <alignment horizontal="center" vertical="top" wrapText="1"/>
    </xf>
    <xf numFmtId="166" fontId="13" fillId="6" borderId="2" xfId="0" applyNumberFormat="1" applyFont="1" applyFill="1" applyBorder="1" applyAlignment="1">
      <alignment horizontal="center" vertical="top" wrapText="1"/>
    </xf>
    <xf numFmtId="166" fontId="15" fillId="6" borderId="2" xfId="0" applyNumberFormat="1" applyFont="1" applyFill="1" applyBorder="1" applyAlignment="1">
      <alignment horizontal="center" vertical="top" wrapText="1"/>
    </xf>
    <xf numFmtId="0" fontId="71" fillId="6" borderId="1" xfId="0" applyFont="1" applyFill="1" applyBorder="1" applyAlignment="1">
      <alignment vertical="center" wrapText="1"/>
    </xf>
    <xf numFmtId="0" fontId="71" fillId="6" borderId="6" xfId="0" applyFont="1" applyFill="1" applyBorder="1" applyAlignment="1">
      <alignment vertical="center" wrapText="1"/>
    </xf>
    <xf numFmtId="3" fontId="70" fillId="41" borderId="47" xfId="0" applyNumberFormat="1" applyFont="1" applyFill="1" applyBorder="1" applyAlignment="1">
      <alignment horizontal="center" vertical="center" wrapText="1"/>
    </xf>
    <xf numFmtId="3" fontId="70" fillId="41" borderId="37" xfId="0" applyNumberFormat="1" applyFont="1" applyFill="1" applyBorder="1" applyAlignment="1">
      <alignment horizontal="center" vertical="center" wrapText="1"/>
    </xf>
    <xf numFmtId="0" fontId="13" fillId="6" borderId="48" xfId="0" applyFont="1" applyFill="1" applyBorder="1" applyAlignment="1">
      <alignment horizontal="center"/>
    </xf>
    <xf numFmtId="3" fontId="13" fillId="41" borderId="35" xfId="0" applyNumberFormat="1" applyFont="1" applyFill="1" applyBorder="1" applyAlignment="1">
      <alignment horizontal="center" vertical="center" wrapText="1"/>
    </xf>
    <xf numFmtId="0" fontId="13" fillId="6" borderId="15" xfId="0" applyFont="1" applyFill="1" applyBorder="1" applyAlignment="1">
      <alignment horizontal="center"/>
    </xf>
    <xf numFmtId="3" fontId="13" fillId="41" borderId="7" xfId="0" applyNumberFormat="1" applyFont="1" applyFill="1" applyBorder="1" applyAlignment="1">
      <alignment horizontal="center" vertical="center" wrapText="1"/>
    </xf>
    <xf numFmtId="166" fontId="15" fillId="6" borderId="1" xfId="0" applyNumberFormat="1" applyFont="1" applyFill="1" applyBorder="1" applyAlignment="1">
      <alignment horizontal="center" vertical="top" wrapText="1"/>
    </xf>
    <xf numFmtId="3" fontId="13" fillId="41" borderId="17" xfId="0" applyNumberFormat="1" applyFont="1" applyFill="1" applyBorder="1" applyAlignment="1">
      <alignment horizontal="center" vertical="center" wrapText="1"/>
    </xf>
    <xf numFmtId="166" fontId="13" fillId="6" borderId="41" xfId="0" applyNumberFormat="1" applyFont="1" applyFill="1" applyBorder="1" applyAlignment="1">
      <alignment horizontal="center" vertical="top" wrapText="1"/>
    </xf>
    <xf numFmtId="166" fontId="15" fillId="6" borderId="41" xfId="0" applyNumberFormat="1" applyFont="1" applyFill="1" applyBorder="1" applyAlignment="1">
      <alignment horizontal="center" vertical="top" wrapText="1"/>
    </xf>
    <xf numFmtId="0" fontId="13" fillId="6" borderId="42" xfId="0" applyFont="1" applyFill="1" applyBorder="1" applyAlignment="1">
      <alignment horizontal="center"/>
    </xf>
    <xf numFmtId="0" fontId="70" fillId="41" borderId="1" xfId="0" applyFont="1" applyFill="1" applyBorder="1" applyAlignment="1">
      <alignment horizontal="center" vertical="center" wrapText="1"/>
    </xf>
    <xf numFmtId="3" fontId="70" fillId="41" borderId="49" xfId="0" applyNumberFormat="1" applyFont="1" applyFill="1" applyBorder="1" applyAlignment="1">
      <alignment horizontal="center" vertical="center" wrapText="1"/>
    </xf>
    <xf numFmtId="166" fontId="13" fillId="41" borderId="50" xfId="0" applyNumberFormat="1" applyFont="1" applyFill="1" applyBorder="1" applyAlignment="1">
      <alignment horizontal="center" vertical="center" wrapText="1"/>
    </xf>
    <xf numFmtId="0" fontId="13" fillId="41" borderId="51" xfId="0" applyFont="1" applyFill="1" applyBorder="1" applyAlignment="1">
      <alignment horizontal="center" vertical="center" wrapText="1"/>
    </xf>
    <xf numFmtId="0" fontId="13" fillId="0" borderId="1" xfId="0" applyFont="1" applyBorder="1"/>
    <xf numFmtId="0" fontId="13" fillId="41" borderId="7" xfId="0" applyFont="1" applyFill="1" applyBorder="1" applyAlignment="1">
      <alignment horizontal="center" vertical="top" wrapText="1"/>
    </xf>
    <xf numFmtId="3" fontId="13" fillId="6" borderId="1" xfId="0" applyNumberFormat="1" applyFont="1" applyFill="1" applyBorder="1" applyAlignment="1">
      <alignment horizontal="left" vertical="top" wrapText="1"/>
    </xf>
    <xf numFmtId="0" fontId="13" fillId="6" borderId="1" xfId="0" applyFont="1" applyFill="1" applyBorder="1" applyAlignment="1">
      <alignment horizontal="center"/>
    </xf>
    <xf numFmtId="3" fontId="13" fillId="6" borderId="1" xfId="0" applyNumberFormat="1" applyFont="1" applyFill="1" applyBorder="1" applyAlignment="1">
      <alignment horizontal="center" vertical="top" wrapText="1"/>
    </xf>
    <xf numFmtId="3" fontId="13" fillId="6" borderId="2" xfId="0" applyNumberFormat="1" applyFont="1" applyFill="1" applyBorder="1" applyAlignment="1">
      <alignment horizontal="center" vertical="top" wrapText="1"/>
    </xf>
    <xf numFmtId="0" fontId="13" fillId="41" borderId="1" xfId="0" applyFont="1" applyFill="1" applyBorder="1" applyAlignment="1">
      <alignment horizontal="left" vertical="center" wrapText="1" indent="1"/>
    </xf>
    <xf numFmtId="3" fontId="13" fillId="41" borderId="1" xfId="0" applyNumberFormat="1" applyFont="1" applyFill="1" applyBorder="1" applyAlignment="1">
      <alignment horizontal="center" vertical="center" wrapText="1"/>
    </xf>
    <xf numFmtId="166" fontId="116" fillId="41" borderId="1" xfId="0" applyNumberFormat="1" applyFont="1" applyFill="1" applyBorder="1" applyAlignment="1">
      <alignment horizontal="center" vertical="center" wrapText="1"/>
    </xf>
    <xf numFmtId="0" fontId="13" fillId="0" borderId="1" xfId="0" applyFont="1" applyBorder="1" applyAlignment="1">
      <alignment horizontal="left" vertical="top"/>
    </xf>
    <xf numFmtId="0" fontId="13" fillId="0" borderId="0" xfId="0" applyFont="1" applyAlignment="1">
      <alignment horizontal="left" vertical="top"/>
    </xf>
    <xf numFmtId="0" fontId="70" fillId="6" borderId="1" xfId="0" applyFont="1" applyFill="1" applyBorder="1" applyAlignment="1">
      <alignment horizontal="center" vertical="center" wrapText="1"/>
    </xf>
    <xf numFmtId="0" fontId="71" fillId="0" borderId="0" xfId="0" applyFont="1" applyAlignment="1">
      <alignment vertical="center" wrapText="1"/>
    </xf>
    <xf numFmtId="0" fontId="51" fillId="0" borderId="0" xfId="0" applyFont="1" applyAlignment="1">
      <alignment vertical="center" wrapText="1"/>
    </xf>
    <xf numFmtId="0" fontId="71" fillId="0" borderId="1" xfId="0" applyFont="1" applyBorder="1" applyAlignment="1">
      <alignment horizontal="center" vertical="center" wrapText="1"/>
    </xf>
    <xf numFmtId="0" fontId="71" fillId="0" borderId="1" xfId="0" applyFont="1" applyBorder="1" applyAlignment="1">
      <alignment vertical="center" wrapText="1"/>
    </xf>
    <xf numFmtId="166" fontId="71" fillId="0" borderId="1" xfId="0" applyNumberFormat="1" applyFont="1" applyBorder="1" applyAlignment="1">
      <alignment vertical="center" wrapText="1"/>
    </xf>
    <xf numFmtId="0" fontId="71" fillId="0" borderId="5" xfId="0" applyFont="1" applyBorder="1" applyAlignment="1">
      <alignment horizontal="center" vertical="center" wrapText="1"/>
    </xf>
    <xf numFmtId="0" fontId="71" fillId="0" borderId="5" xfId="0" applyFont="1" applyBorder="1" applyAlignment="1">
      <alignment vertical="center" wrapText="1"/>
    </xf>
    <xf numFmtId="166" fontId="71" fillId="0" borderId="5" xfId="0" applyNumberFormat="1" applyFont="1" applyBorder="1" applyAlignment="1">
      <alignment vertical="center" wrapText="1"/>
    </xf>
    <xf numFmtId="0" fontId="44" fillId="0" borderId="5" xfId="0" applyFont="1" applyBorder="1" applyAlignment="1">
      <alignment horizontal="center" vertical="center" wrapText="1"/>
    </xf>
    <xf numFmtId="0" fontId="44" fillId="0" borderId="5" xfId="0" applyFont="1" applyBorder="1" applyAlignment="1">
      <alignment horizontal="center" vertical="center"/>
    </xf>
    <xf numFmtId="166" fontId="44" fillId="0" borderId="5" xfId="0" applyNumberFormat="1" applyFont="1" applyBorder="1" applyAlignment="1">
      <alignment horizontal="center" vertical="center" wrapText="1"/>
    </xf>
    <xf numFmtId="0" fontId="71" fillId="0" borderId="1" xfId="0" applyFont="1" applyBorder="1" applyAlignment="1">
      <alignment horizontal="left" vertical="center" wrapText="1"/>
    </xf>
    <xf numFmtId="166" fontId="71" fillId="0" borderId="1" xfId="0" applyNumberFormat="1" applyFont="1" applyBorder="1" applyAlignment="1">
      <alignment horizontal="center" vertical="center" wrapText="1"/>
    </xf>
    <xf numFmtId="1" fontId="71" fillId="0" borderId="1" xfId="0" applyNumberFormat="1" applyFont="1" applyBorder="1" applyAlignment="1">
      <alignment horizontal="center" vertical="center" wrapText="1"/>
    </xf>
    <xf numFmtId="0" fontId="87" fillId="0" borderId="1" xfId="61" applyBorder="1" applyAlignment="1" applyProtection="1">
      <alignment vertical="center" wrapText="1"/>
    </xf>
    <xf numFmtId="0" fontId="71" fillId="0" borderId="0" xfId="0" applyFont="1" applyAlignment="1">
      <alignment horizontal="center" vertical="center" wrapText="1"/>
    </xf>
    <xf numFmtId="0" fontId="10" fillId="0" borderId="1" xfId="0" applyFont="1" applyBorder="1" applyAlignment="1">
      <alignment horizontal="left" vertical="center"/>
    </xf>
    <xf numFmtId="0" fontId="10" fillId="0" borderId="1" xfId="1" applyFont="1" applyBorder="1" applyAlignment="1">
      <alignment horizontal="left" vertical="center" wrapText="1"/>
    </xf>
    <xf numFmtId="0" fontId="71" fillId="0" borderId="3" xfId="0" applyFont="1" applyBorder="1" applyAlignment="1">
      <alignment vertical="center" wrapText="1"/>
    </xf>
    <xf numFmtId="166" fontId="71" fillId="0" borderId="7" xfId="0" applyNumberFormat="1" applyFont="1" applyBorder="1" applyAlignment="1">
      <alignment horizontal="center" vertical="center" wrapText="1"/>
    </xf>
    <xf numFmtId="0" fontId="71" fillId="0" borderId="7" xfId="0" applyFont="1" applyBorder="1" applyAlignment="1">
      <alignment horizontal="center" vertical="center" wrapText="1"/>
    </xf>
    <xf numFmtId="1" fontId="71" fillId="0" borderId="7" xfId="0" applyNumberFormat="1" applyFont="1" applyBorder="1" applyAlignment="1">
      <alignment horizontal="center" vertical="center" wrapText="1"/>
    </xf>
    <xf numFmtId="0" fontId="52" fillId="0" borderId="7" xfId="0" applyFont="1" applyBorder="1" applyAlignment="1">
      <alignment horizontal="center" vertical="center"/>
    </xf>
    <xf numFmtId="166" fontId="52" fillId="0" borderId="7" xfId="0" applyNumberFormat="1" applyFont="1" applyBorder="1" applyAlignment="1">
      <alignment horizontal="center" vertical="center"/>
    </xf>
    <xf numFmtId="167" fontId="52" fillId="0" borderId="7" xfId="0" applyNumberFormat="1" applyFont="1" applyBorder="1" applyAlignment="1">
      <alignment horizontal="center" vertical="center"/>
    </xf>
    <xf numFmtId="166" fontId="71" fillId="0" borderId="0" xfId="0" applyNumberFormat="1" applyFont="1" applyAlignment="1">
      <alignment vertical="center" wrapText="1"/>
    </xf>
    <xf numFmtId="0" fontId="84" fillId="0" borderId="0" xfId="0" applyFont="1" applyAlignment="1">
      <alignment vertical="center" wrapText="1"/>
    </xf>
    <xf numFmtId="0" fontId="84" fillId="0" borderId="0" xfId="0" applyFont="1" applyAlignment="1">
      <alignment horizontal="center" vertical="center" wrapText="1"/>
    </xf>
    <xf numFmtId="166" fontId="84" fillId="0" borderId="0" xfId="0" applyNumberFormat="1" applyFont="1" applyAlignment="1">
      <alignment vertical="center" wrapText="1"/>
    </xf>
    <xf numFmtId="0" fontId="84" fillId="0" borderId="0" xfId="0" applyFont="1" applyAlignment="1">
      <alignment horizontal="center" wrapText="1"/>
    </xf>
    <xf numFmtId="0" fontId="13" fillId="0" borderId="0" xfId="0" applyFont="1" applyAlignment="1">
      <alignment wrapText="1"/>
    </xf>
    <xf numFmtId="0" fontId="70" fillId="0" borderId="0" xfId="0" applyFont="1" applyAlignment="1">
      <alignment wrapText="1"/>
    </xf>
    <xf numFmtId="0" fontId="70" fillId="41" borderId="6" xfId="0" applyFont="1" applyFill="1" applyBorder="1" applyAlignment="1">
      <alignment horizontal="center" vertical="center" wrapText="1"/>
    </xf>
    <xf numFmtId="0" fontId="70" fillId="0" borderId="0" xfId="0" applyFont="1" applyAlignment="1">
      <alignment vertical="center" wrapText="1"/>
    </xf>
    <xf numFmtId="0" fontId="70" fillId="6" borderId="5" xfId="0" applyFont="1" applyFill="1" applyBorder="1" applyAlignment="1">
      <alignment vertical="center"/>
    </xf>
    <xf numFmtId="0" fontId="13" fillId="6" borderId="6" xfId="0" applyFont="1" applyFill="1" applyBorder="1" applyAlignment="1">
      <alignment vertical="center"/>
    </xf>
    <xf numFmtId="0" fontId="70" fillId="0" borderId="0" xfId="0" applyFont="1" applyAlignment="1">
      <alignment horizontal="left" vertical="center" wrapText="1"/>
    </xf>
    <xf numFmtId="0" fontId="13" fillId="6" borderId="9" xfId="0" applyFont="1" applyFill="1" applyBorder="1" applyAlignment="1">
      <alignment vertical="center"/>
    </xf>
    <xf numFmtId="0" fontId="13" fillId="6" borderId="5" xfId="0" applyFont="1" applyFill="1" applyBorder="1" applyAlignment="1">
      <alignment vertical="center"/>
    </xf>
    <xf numFmtId="0" fontId="15" fillId="6" borderId="1" xfId="0" applyFont="1" applyFill="1" applyBorder="1" applyAlignment="1">
      <alignment horizontal="center" vertical="center" wrapText="1"/>
    </xf>
    <xf numFmtId="0" fontId="15" fillId="6" borderId="1" xfId="0" applyFont="1" applyFill="1" applyBorder="1"/>
    <xf numFmtId="0" fontId="15" fillId="6" borderId="2" xfId="0" applyFont="1" applyFill="1" applyBorder="1" applyAlignment="1">
      <alignment horizontal="center" vertical="center" wrapText="1"/>
    </xf>
    <xf numFmtId="0" fontId="70" fillId="6" borderId="1" xfId="0" applyFont="1" applyFill="1" applyBorder="1" applyAlignment="1">
      <alignment vertical="center" wrapText="1"/>
    </xf>
    <xf numFmtId="0" fontId="13" fillId="6" borderId="2" xfId="0" applyFont="1" applyFill="1" applyBorder="1" applyAlignment="1">
      <alignment horizontal="center" vertical="top" wrapText="1"/>
    </xf>
    <xf numFmtId="0" fontId="65" fillId="6" borderId="1" xfId="0" applyFont="1" applyFill="1" applyBorder="1" applyAlignment="1">
      <alignment horizontal="left" vertical="center" wrapText="1"/>
    </xf>
    <xf numFmtId="166" fontId="70" fillId="6" borderId="1" xfId="0" applyNumberFormat="1" applyFont="1" applyFill="1" applyBorder="1" applyAlignment="1">
      <alignment horizontal="center" vertical="center" wrapText="1"/>
    </xf>
    <xf numFmtId="0" fontId="13" fillId="41" borderId="1" xfId="0" applyFont="1" applyFill="1" applyBorder="1" applyAlignment="1">
      <alignment horizontal="center" vertical="top" wrapText="1"/>
    </xf>
    <xf numFmtId="4" fontId="13" fillId="6" borderId="1" xfId="0" applyNumberFormat="1" applyFont="1" applyFill="1" applyBorder="1" applyAlignment="1">
      <alignment horizontal="center" vertical="center" wrapText="1"/>
    </xf>
    <xf numFmtId="4" fontId="13" fillId="6" borderId="1" xfId="0" applyNumberFormat="1" applyFont="1" applyFill="1" applyBorder="1" applyAlignment="1">
      <alignment horizontal="center" vertical="top" wrapText="1"/>
    </xf>
    <xf numFmtId="4" fontId="13" fillId="6" borderId="2" xfId="0" applyNumberFormat="1" applyFont="1" applyFill="1" applyBorder="1" applyAlignment="1">
      <alignment horizontal="center" vertical="top" wrapText="1"/>
    </xf>
    <xf numFmtId="0" fontId="13" fillId="0" borderId="31" xfId="0" applyFont="1" applyBorder="1" applyAlignment="1">
      <alignment horizontal="left" vertical="top"/>
    </xf>
    <xf numFmtId="0" fontId="70" fillId="6" borderId="1" xfId="0" applyFont="1" applyFill="1" applyBorder="1" applyAlignment="1">
      <alignment horizontal="center" vertical="top" wrapText="1"/>
    </xf>
    <xf numFmtId="0" fontId="13" fillId="6" borderId="1" xfId="0" applyFont="1" applyFill="1" applyBorder="1" applyAlignment="1">
      <alignment horizontal="center" vertical="center"/>
    </xf>
    <xf numFmtId="0" fontId="119" fillId="0" borderId="0" xfId="1" applyFont="1" applyAlignment="1">
      <alignment horizontal="center" vertical="center" wrapText="1"/>
    </xf>
    <xf numFmtId="0" fontId="71" fillId="0" borderId="0" xfId="1" applyFont="1" applyAlignment="1">
      <alignment vertical="center" wrapText="1"/>
    </xf>
    <xf numFmtId="0" fontId="52" fillId="0" borderId="0" xfId="1" applyFont="1" applyAlignment="1">
      <alignment horizontal="center" vertical="center" wrapText="1"/>
    </xf>
    <xf numFmtId="0" fontId="51" fillId="0" borderId="0" xfId="1" applyFont="1" applyAlignment="1">
      <alignment vertical="center" wrapText="1"/>
    </xf>
    <xf numFmtId="0" fontId="71" fillId="0" borderId="1" xfId="1" applyFont="1" applyBorder="1" applyAlignment="1">
      <alignment horizontal="center" vertical="center" wrapText="1"/>
    </xf>
    <xf numFmtId="0" fontId="71" fillId="0" borderId="1" xfId="1" applyFont="1" applyBorder="1" applyAlignment="1">
      <alignment vertical="center" wrapText="1"/>
    </xf>
    <xf numFmtId="0" fontId="71" fillId="0" borderId="5" xfId="1" applyFont="1" applyBorder="1" applyAlignment="1">
      <alignment horizontal="center" vertical="center" wrapText="1"/>
    </xf>
    <xf numFmtId="0" fontId="71" fillId="0" borderId="5" xfId="1" applyFont="1" applyBorder="1" applyAlignment="1">
      <alignment vertical="center" wrapText="1"/>
    </xf>
    <xf numFmtId="0" fontId="71" fillId="0" borderId="2" xfId="1" applyFont="1" applyBorder="1" applyAlignment="1">
      <alignment horizontal="center" vertical="center" wrapText="1"/>
    </xf>
    <xf numFmtId="0" fontId="44" fillId="0" borderId="5" xfId="1" applyFont="1" applyBorder="1" applyAlignment="1">
      <alignment horizontal="center" vertical="center" wrapText="1"/>
    </xf>
    <xf numFmtId="0" fontId="44" fillId="0" borderId="5" xfId="1" applyFont="1" applyBorder="1" applyAlignment="1">
      <alignment horizontal="center" vertical="center"/>
    </xf>
    <xf numFmtId="0" fontId="71" fillId="0" borderId="1" xfId="1" applyFont="1" applyBorder="1" applyAlignment="1">
      <alignment horizontal="left" vertical="center" wrapText="1"/>
    </xf>
    <xf numFmtId="167" fontId="71" fillId="0" borderId="1" xfId="1" applyNumberFormat="1" applyFont="1" applyBorder="1" applyAlignment="1">
      <alignment horizontal="center" vertical="center" wrapText="1"/>
    </xf>
    <xf numFmtId="1" fontId="71" fillId="0" borderId="1" xfId="1" applyNumberFormat="1" applyFont="1" applyBorder="1" applyAlignment="1">
      <alignment horizontal="center" vertical="center" wrapText="1"/>
    </xf>
    <xf numFmtId="0" fontId="120" fillId="0" borderId="1" xfId="65" applyBorder="1" applyAlignment="1" applyProtection="1">
      <alignment vertical="center" wrapText="1"/>
    </xf>
    <xf numFmtId="0" fontId="10" fillId="0" borderId="1" xfId="1" applyFont="1" applyBorder="1" applyAlignment="1">
      <alignment horizontal="left" vertical="center"/>
    </xf>
    <xf numFmtId="0" fontId="120" fillId="0" borderId="1" xfId="65" applyFill="1" applyBorder="1" applyAlignment="1" applyProtection="1">
      <alignment vertical="center" wrapText="1"/>
    </xf>
    <xf numFmtId="0" fontId="10" fillId="0" borderId="1" xfId="1" applyFont="1" applyBorder="1" applyAlignment="1">
      <alignment vertical="center" wrapText="1"/>
    </xf>
    <xf numFmtId="0" fontId="10" fillId="0" borderId="0" xfId="1" applyFont="1" applyAlignment="1">
      <alignment vertical="center" wrapText="1"/>
    </xf>
    <xf numFmtId="0" fontId="10" fillId="0" borderId="3" xfId="1" applyFont="1" applyBorder="1" applyAlignment="1">
      <alignment vertical="center" wrapText="1"/>
    </xf>
    <xf numFmtId="1" fontId="71" fillId="0" borderId="7" xfId="1" applyNumberFormat="1" applyFont="1" applyBorder="1" applyAlignment="1">
      <alignment horizontal="center" vertical="center" wrapText="1"/>
    </xf>
    <xf numFmtId="167" fontId="71" fillId="0" borderId="7" xfId="1" applyNumberFormat="1" applyFont="1" applyBorder="1" applyAlignment="1">
      <alignment horizontal="center" vertical="center" wrapText="1"/>
    </xf>
    <xf numFmtId="0" fontId="52" fillId="0" borderId="2" xfId="1" applyFont="1" applyBorder="1" applyAlignment="1">
      <alignment horizontal="center" vertical="center"/>
    </xf>
    <xf numFmtId="0" fontId="52" fillId="0" borderId="3" xfId="1" applyFont="1" applyBorder="1" applyAlignment="1">
      <alignment horizontal="center" vertical="center"/>
    </xf>
    <xf numFmtId="0" fontId="52" fillId="0" borderId="7" xfId="1" applyFont="1" applyBorder="1" applyAlignment="1">
      <alignment horizontal="center" vertical="center"/>
    </xf>
    <xf numFmtId="167" fontId="52" fillId="0" borderId="7" xfId="1" applyNumberFormat="1" applyFont="1" applyBorder="1" applyAlignment="1">
      <alignment horizontal="center" vertical="center"/>
    </xf>
    <xf numFmtId="0" fontId="71" fillId="0" borderId="0" xfId="1" applyFont="1" applyAlignment="1">
      <alignment horizontal="center" vertical="center" wrapText="1"/>
    </xf>
    <xf numFmtId="0" fontId="70" fillId="6" borderId="1" xfId="0" applyFont="1" applyFill="1" applyBorder="1" applyAlignment="1">
      <alignment horizontal="left" wrapText="1"/>
    </xf>
    <xf numFmtId="0" fontId="10" fillId="0" borderId="1" xfId="0" applyFont="1" applyBorder="1" applyAlignment="1">
      <alignment horizontal="left" vertical="top" wrapText="1"/>
    </xf>
    <xf numFmtId="0" fontId="10" fillId="0" borderId="1" xfId="0" applyFont="1" applyBorder="1" applyAlignment="1">
      <alignment horizontal="center" vertical="top" wrapText="1"/>
    </xf>
    <xf numFmtId="0" fontId="10" fillId="0" borderId="2" xfId="0" applyFont="1" applyBorder="1" applyAlignment="1">
      <alignment horizontal="center" vertical="top" wrapText="1"/>
    </xf>
    <xf numFmtId="0" fontId="92" fillId="0" borderId="1" xfId="0" applyFont="1" applyBorder="1"/>
    <xf numFmtId="0" fontId="0" fillId="41" borderId="1" xfId="0" applyFill="1" applyBorder="1" applyAlignment="1">
      <alignment horizontal="center"/>
    </xf>
    <xf numFmtId="0" fontId="10" fillId="41" borderId="1" xfId="0" applyFont="1" applyFill="1" applyBorder="1" applyAlignment="1">
      <alignment horizontal="left" vertical="top" wrapText="1"/>
    </xf>
    <xf numFmtId="166" fontId="10" fillId="41" borderId="1" xfId="0" applyNumberFormat="1" applyFont="1" applyFill="1" applyBorder="1" applyAlignment="1">
      <alignment horizontal="center" vertical="top" wrapText="1"/>
    </xf>
    <xf numFmtId="166" fontId="10" fillId="6" borderId="2" xfId="0" applyNumberFormat="1" applyFont="1" applyFill="1" applyBorder="1" applyAlignment="1">
      <alignment horizontal="center" vertical="top" wrapText="1"/>
    </xf>
    <xf numFmtId="0" fontId="13" fillId="6" borderId="2" xfId="0" applyFont="1" applyFill="1" applyBorder="1" applyAlignment="1">
      <alignment horizontal="right" vertical="center" wrapText="1"/>
    </xf>
    <xf numFmtId="166" fontId="70" fillId="6" borderId="12" xfId="0" applyNumberFormat="1" applyFont="1" applyFill="1" applyBorder="1" applyAlignment="1">
      <alignment horizontal="center" vertical="top" wrapText="1"/>
    </xf>
    <xf numFmtId="3" fontId="70" fillId="6" borderId="12" xfId="0" applyNumberFormat="1" applyFont="1" applyFill="1" applyBorder="1" applyAlignment="1">
      <alignment horizontal="center" vertical="top" wrapText="1"/>
    </xf>
    <xf numFmtId="0" fontId="70" fillId="6" borderId="13" xfId="0" applyFont="1" applyFill="1" applyBorder="1" applyAlignment="1">
      <alignment horizontal="center"/>
    </xf>
    <xf numFmtId="0" fontId="13" fillId="6" borderId="14" xfId="0" applyFont="1" applyFill="1" applyBorder="1" applyAlignment="1">
      <alignment horizontal="left" vertical="top" wrapText="1"/>
    </xf>
    <xf numFmtId="3" fontId="15" fillId="6" borderId="2" xfId="0" applyNumberFormat="1" applyFont="1" applyFill="1" applyBorder="1" applyAlignment="1">
      <alignment horizontal="center" vertical="top" wrapText="1"/>
    </xf>
    <xf numFmtId="0" fontId="13" fillId="6" borderId="16" xfId="0" applyFont="1" applyFill="1" applyBorder="1" applyAlignment="1">
      <alignment horizontal="left" vertical="top" wrapText="1"/>
    </xf>
    <xf numFmtId="3" fontId="13" fillId="41" borderId="41" xfId="0" applyNumberFormat="1" applyFont="1" applyFill="1" applyBorder="1" applyAlignment="1">
      <alignment horizontal="center" vertical="center" wrapText="1"/>
    </xf>
    <xf numFmtId="3" fontId="13" fillId="6" borderId="41" xfId="0" applyNumberFormat="1" applyFont="1" applyFill="1" applyBorder="1" applyAlignment="1">
      <alignment horizontal="center" vertical="top" wrapText="1"/>
    </xf>
    <xf numFmtId="3" fontId="15" fillId="6" borderId="45" xfId="0" applyNumberFormat="1" applyFont="1" applyFill="1" applyBorder="1" applyAlignment="1">
      <alignment horizontal="center" vertical="top" wrapText="1"/>
    </xf>
    <xf numFmtId="0" fontId="70" fillId="6" borderId="39" xfId="0" applyFont="1" applyFill="1" applyBorder="1" applyAlignment="1">
      <alignment horizontal="left" vertical="top" wrapText="1"/>
    </xf>
    <xf numFmtId="166" fontId="70" fillId="6" borderId="5" xfId="0" applyNumberFormat="1" applyFont="1" applyFill="1" applyBorder="1" applyAlignment="1">
      <alignment horizontal="center" vertical="top" wrapText="1"/>
    </xf>
    <xf numFmtId="3" fontId="70" fillId="6" borderId="5" xfId="0" applyNumberFormat="1" applyFont="1" applyFill="1" applyBorder="1" applyAlignment="1">
      <alignment horizontal="center" vertical="top" wrapText="1"/>
    </xf>
    <xf numFmtId="3" fontId="70" fillId="6" borderId="32" xfId="0" applyNumberFormat="1" applyFont="1" applyFill="1" applyBorder="1" applyAlignment="1">
      <alignment horizontal="center" vertical="top" wrapText="1"/>
    </xf>
    <xf numFmtId="3" fontId="15" fillId="6" borderId="1" xfId="0" applyNumberFormat="1" applyFont="1" applyFill="1" applyBorder="1" applyAlignment="1">
      <alignment horizontal="center" vertical="top" wrapText="1"/>
    </xf>
    <xf numFmtId="3" fontId="15" fillId="6" borderId="41" xfId="0" applyNumberFormat="1" applyFont="1" applyFill="1" applyBorder="1" applyAlignment="1">
      <alignment horizontal="center" vertical="top" wrapText="1"/>
    </xf>
    <xf numFmtId="0" fontId="70" fillId="41" borderId="52" xfId="0" applyFont="1" applyFill="1" applyBorder="1" applyAlignment="1">
      <alignment horizontal="center" vertical="center" wrapText="1"/>
    </xf>
    <xf numFmtId="3" fontId="70" fillId="41" borderId="50" xfId="0" applyNumberFormat="1" applyFont="1" applyFill="1" applyBorder="1" applyAlignment="1">
      <alignment horizontal="center" vertical="center" wrapText="1"/>
    </xf>
    <xf numFmtId="166" fontId="70" fillId="41" borderId="50" xfId="0" applyNumberFormat="1" applyFont="1" applyFill="1" applyBorder="1" applyAlignment="1">
      <alignment horizontal="center" vertical="center" wrapText="1"/>
    </xf>
    <xf numFmtId="3" fontId="70" fillId="6" borderId="1" xfId="0" applyNumberFormat="1" applyFont="1" applyFill="1" applyBorder="1" applyAlignment="1">
      <alignment horizontal="center" vertical="top" wrapText="1"/>
    </xf>
    <xf numFmtId="3" fontId="70" fillId="6" borderId="2" xfId="0" applyNumberFormat="1" applyFont="1" applyFill="1" applyBorder="1" applyAlignment="1">
      <alignment horizontal="center" vertical="top" wrapText="1"/>
    </xf>
    <xf numFmtId="0" fontId="114" fillId="0" borderId="0" xfId="0" applyFont="1" applyAlignment="1">
      <alignment horizontal="left"/>
    </xf>
    <xf numFmtId="0" fontId="13" fillId="41" borderId="2" xfId="0" applyFont="1" applyFill="1" applyBorder="1" applyAlignment="1">
      <alignment vertical="center" wrapText="1"/>
    </xf>
    <xf numFmtId="0" fontId="114" fillId="0" borderId="0" xfId="0" applyFont="1" applyAlignment="1">
      <alignment wrapText="1"/>
    </xf>
    <xf numFmtId="0" fontId="13" fillId="41" borderId="2" xfId="0" applyFont="1" applyFill="1" applyBorder="1" applyAlignment="1">
      <alignment vertical="top" wrapText="1"/>
    </xf>
    <xf numFmtId="0" fontId="121" fillId="0" borderId="0" xfId="0" applyFont="1" applyAlignment="1">
      <alignment wrapText="1"/>
    </xf>
    <xf numFmtId="0" fontId="15" fillId="6" borderId="1" xfId="0" applyFont="1" applyFill="1" applyBorder="1" applyAlignment="1">
      <alignment horizontal="center" vertical="top" wrapText="1"/>
    </xf>
    <xf numFmtId="0" fontId="15" fillId="6" borderId="1" xfId="0" applyFont="1" applyFill="1" applyBorder="1" applyAlignment="1">
      <alignment horizontal="right" vertical="top" wrapText="1"/>
    </xf>
    <xf numFmtId="0" fontId="15" fillId="6" borderId="2" xfId="0" applyFont="1" applyFill="1" applyBorder="1" applyAlignment="1">
      <alignment horizontal="right" vertical="top" wrapText="1"/>
    </xf>
    <xf numFmtId="166" fontId="70" fillId="6" borderId="1" xfId="0" applyNumberFormat="1" applyFont="1" applyFill="1" applyBorder="1" applyAlignment="1">
      <alignment horizontal="center" vertical="top" wrapText="1"/>
    </xf>
    <xf numFmtId="0" fontId="114" fillId="6" borderId="1" xfId="0" applyFont="1" applyFill="1" applyBorder="1" applyAlignment="1">
      <alignment horizontal="center"/>
    </xf>
    <xf numFmtId="0" fontId="114" fillId="6" borderId="1" xfId="0" applyFont="1" applyFill="1" applyBorder="1" applyAlignment="1">
      <alignment horizontal="center" wrapText="1"/>
    </xf>
    <xf numFmtId="166" fontId="70" fillId="41" borderId="1" xfId="0" applyNumberFormat="1" applyFont="1" applyFill="1" applyBorder="1" applyAlignment="1">
      <alignment horizontal="center" vertical="center" wrapText="1"/>
    </xf>
    <xf numFmtId="0" fontId="122" fillId="45" borderId="0" xfId="0" applyFont="1" applyFill="1"/>
    <xf numFmtId="0" fontId="116" fillId="45" borderId="1" xfId="0" applyFont="1" applyFill="1" applyBorder="1" applyAlignment="1">
      <alignment horizontal="center" vertical="center" wrapText="1"/>
    </xf>
    <xf numFmtId="0" fontId="65" fillId="45" borderId="1" xfId="0" applyFont="1" applyFill="1" applyBorder="1" applyAlignment="1">
      <alignment horizontal="center" vertical="center" wrapText="1"/>
    </xf>
    <xf numFmtId="166" fontId="116" fillId="45" borderId="1" xfId="0" applyNumberFormat="1" applyFont="1" applyFill="1" applyBorder="1" applyAlignment="1">
      <alignment horizontal="center" vertical="center" wrapText="1"/>
    </xf>
    <xf numFmtId="166" fontId="0" fillId="0" borderId="1" xfId="0" applyNumberFormat="1" applyBorder="1"/>
    <xf numFmtId="167" fontId="70" fillId="41" borderId="1" xfId="0" applyNumberFormat="1" applyFont="1" applyFill="1" applyBorder="1" applyAlignment="1">
      <alignment horizontal="center" vertical="center" wrapText="1"/>
    </xf>
    <xf numFmtId="167" fontId="13" fillId="45" borderId="1" xfId="0" applyNumberFormat="1" applyFont="1" applyFill="1" applyBorder="1" applyAlignment="1">
      <alignment horizontal="center" vertical="top" wrapText="1"/>
    </xf>
    <xf numFmtId="167" fontId="13" fillId="45" borderId="2" xfId="0" applyNumberFormat="1" applyFont="1" applyFill="1" applyBorder="1" applyAlignment="1">
      <alignment horizontal="center" vertical="top" wrapText="1"/>
    </xf>
    <xf numFmtId="0" fontId="114" fillId="45" borderId="1" xfId="0" applyFont="1" applyFill="1" applyBorder="1"/>
    <xf numFmtId="0" fontId="114" fillId="6" borderId="1" xfId="0" applyFont="1" applyFill="1" applyBorder="1"/>
    <xf numFmtId="167" fontId="13" fillId="6" borderId="1" xfId="0" applyNumberFormat="1" applyFont="1" applyFill="1" applyBorder="1" applyAlignment="1">
      <alignment horizontal="center" vertical="top" wrapText="1"/>
    </xf>
    <xf numFmtId="0" fontId="10" fillId="41" borderId="9" xfId="0" applyFont="1" applyFill="1" applyBorder="1" applyAlignment="1">
      <alignment horizontal="left" vertical="center" wrapText="1"/>
    </xf>
    <xf numFmtId="0" fontId="65" fillId="6" borderId="1" xfId="0" applyFont="1" applyFill="1" applyBorder="1" applyAlignment="1">
      <alignment vertical="top"/>
    </xf>
    <xf numFmtId="0" fontId="13" fillId="4" borderId="9" xfId="0" applyFont="1" applyFill="1" applyBorder="1" applyAlignment="1">
      <alignment horizontal="center" vertical="center" wrapText="1"/>
    </xf>
    <xf numFmtId="0" fontId="13" fillId="41" borderId="32" xfId="0" applyFont="1" applyFill="1" applyBorder="1" applyAlignment="1">
      <alignment horizontal="center" vertical="center" wrapText="1"/>
    </xf>
    <xf numFmtId="0" fontId="12" fillId="6" borderId="6" xfId="0" applyFont="1" applyFill="1" applyBorder="1" applyAlignment="1">
      <alignment horizontal="left" vertical="top" wrapText="1"/>
    </xf>
    <xf numFmtId="0" fontId="10" fillId="6" borderId="6" xfId="0" applyFont="1" applyFill="1" applyBorder="1" applyAlignment="1">
      <alignment horizontal="left" vertical="top" wrapText="1"/>
    </xf>
    <xf numFmtId="0" fontId="0" fillId="0" borderId="1" xfId="0" applyBorder="1"/>
    <xf numFmtId="0" fontId="10" fillId="6" borderId="7" xfId="0" applyFont="1" applyFill="1" applyBorder="1" applyAlignment="1">
      <alignment horizontal="left" vertical="top" wrapText="1"/>
    </xf>
    <xf numFmtId="0" fontId="10" fillId="6" borderId="0" xfId="0" applyFont="1" applyFill="1" applyAlignment="1">
      <alignment horizontal="left" vertical="top" wrapText="1"/>
    </xf>
    <xf numFmtId="0" fontId="0" fillId="6" borderId="0" xfId="0" applyFill="1"/>
    <xf numFmtId="0" fontId="12" fillId="6" borderId="1" xfId="0" applyFont="1" applyFill="1" applyBorder="1" applyAlignment="1">
      <alignment horizontal="left" vertical="top" wrapText="1"/>
    </xf>
    <xf numFmtId="0" fontId="76" fillId="6" borderId="1" xfId="0" applyFont="1" applyFill="1" applyBorder="1" applyAlignment="1">
      <alignment vertical="center" wrapText="1"/>
    </xf>
    <xf numFmtId="0" fontId="123" fillId="0" borderId="0" xfId="0" applyFont="1" applyBorder="1" applyAlignment="1">
      <alignment vertical="center"/>
    </xf>
    <xf numFmtId="0" fontId="13" fillId="6" borderId="2" xfId="0" applyFont="1" applyFill="1" applyBorder="1"/>
    <xf numFmtId="0" fontId="92" fillId="0" borderId="1" xfId="0" applyFont="1" applyBorder="1" applyAlignment="1">
      <alignment vertical="top" wrapText="1"/>
    </xf>
    <xf numFmtId="0" fontId="124" fillId="0" borderId="1" xfId="0" applyFont="1" applyBorder="1" applyAlignment="1">
      <alignment horizontal="left" vertical="top" wrapText="1"/>
    </xf>
    <xf numFmtId="0" fontId="10" fillId="0" borderId="1" xfId="0" applyFont="1" applyBorder="1" applyAlignment="1">
      <alignment vertical="top" wrapText="1"/>
    </xf>
    <xf numFmtId="0" fontId="13" fillId="0" borderId="1" xfId="0" applyFont="1" applyBorder="1" applyAlignment="1">
      <alignment vertical="top" wrapText="1"/>
    </xf>
    <xf numFmtId="0" fontId="124" fillId="0" borderId="1" xfId="0" applyFont="1" applyBorder="1" applyAlignment="1">
      <alignment vertical="top" wrapText="1"/>
    </xf>
    <xf numFmtId="0" fontId="92" fillId="4" borderId="1" xfId="0" applyFont="1" applyFill="1" applyBorder="1" applyAlignment="1">
      <alignment vertical="top" wrapText="1"/>
    </xf>
    <xf numFmtId="0" fontId="10" fillId="0" borderId="1" xfId="0" applyFont="1" applyBorder="1" applyAlignment="1">
      <alignment vertical="center" wrapText="1"/>
    </xf>
    <xf numFmtId="0" fontId="67" fillId="6" borderId="1" xfId="0" applyFont="1" applyFill="1" applyBorder="1" applyAlignment="1">
      <alignment horizontal="center" vertical="center" wrapText="1"/>
    </xf>
    <xf numFmtId="0" fontId="65" fillId="6" borderId="1" xfId="0" applyFont="1" applyFill="1" applyBorder="1" applyAlignment="1">
      <alignment horizontal="center" vertical="center" wrapText="1"/>
    </xf>
    <xf numFmtId="2" fontId="10" fillId="6" borderId="1" xfId="0" applyNumberFormat="1" applyFont="1" applyFill="1" applyBorder="1" applyAlignment="1">
      <alignment horizontal="center" vertical="top" wrapText="1"/>
    </xf>
    <xf numFmtId="2" fontId="10" fillId="6" borderId="2" xfId="0" applyNumberFormat="1" applyFont="1" applyFill="1" applyBorder="1" applyAlignment="1">
      <alignment horizontal="center" vertical="top" wrapText="1"/>
    </xf>
    <xf numFmtId="2" fontId="13" fillId="41" borderId="1" xfId="0" applyNumberFormat="1" applyFont="1" applyFill="1" applyBorder="1" applyAlignment="1">
      <alignment horizontal="center" vertical="center" wrapText="1"/>
    </xf>
    <xf numFmtId="2" fontId="13" fillId="6" borderId="1" xfId="0" applyNumberFormat="1" applyFont="1" applyFill="1" applyBorder="1" applyAlignment="1">
      <alignment horizontal="center" vertical="center" wrapText="1"/>
    </xf>
    <xf numFmtId="4" fontId="90" fillId="8" borderId="1" xfId="59" applyNumberFormat="1" applyFont="1" applyFill="1" applyBorder="1" applyAlignment="1">
      <alignment horizontal="right" vertical="center"/>
    </xf>
    <xf numFmtId="167" fontId="3" fillId="6" borderId="1" xfId="0" applyNumberFormat="1" applyFont="1" applyFill="1" applyBorder="1" applyAlignment="1">
      <alignment horizontal="center" vertical="center" wrapText="1"/>
    </xf>
    <xf numFmtId="0" fontId="13" fillId="41" borderId="6" xfId="0" applyFont="1" applyFill="1" applyBorder="1" applyAlignment="1">
      <alignment horizontal="center" vertical="center" wrapText="1"/>
    </xf>
    <xf numFmtId="0" fontId="13" fillId="41" borderId="1" xfId="0" applyFont="1" applyFill="1" applyBorder="1" applyAlignment="1">
      <alignment horizontal="left" vertical="center" wrapText="1"/>
    </xf>
    <xf numFmtId="0" fontId="10" fillId="6" borderId="2" xfId="0" applyFont="1" applyFill="1" applyBorder="1" applyAlignment="1">
      <alignment horizontal="left" vertical="top" wrapText="1"/>
    </xf>
    <xf numFmtId="0" fontId="13" fillId="41" borderId="1" xfId="0" applyFont="1" applyFill="1" applyBorder="1" applyAlignment="1">
      <alignment horizontal="center" vertical="center" wrapText="1"/>
    </xf>
    <xf numFmtId="0" fontId="0" fillId="6" borderId="1" xfId="0" applyFill="1" applyBorder="1" applyAlignment="1">
      <alignment horizontal="center"/>
    </xf>
    <xf numFmtId="0" fontId="7" fillId="47" borderId="1" xfId="0" applyFont="1" applyFill="1" applyBorder="1" applyAlignment="1">
      <alignment horizontal="justify" vertical="top" wrapText="1"/>
    </xf>
    <xf numFmtId="0" fontId="13" fillId="47" borderId="1" xfId="0" applyFont="1" applyFill="1" applyBorder="1" applyAlignment="1">
      <alignment horizontal="center" vertical="top" wrapText="1"/>
    </xf>
    <xf numFmtId="0" fontId="0" fillId="0" borderId="0" xfId="0" applyAlignment="1">
      <alignment wrapText="1"/>
    </xf>
    <xf numFmtId="0" fontId="7" fillId="2" borderId="1" xfId="0" applyFont="1" applyFill="1" applyBorder="1" applyAlignment="1">
      <alignment horizontal="center" vertical="center" wrapText="1"/>
    </xf>
    <xf numFmtId="0" fontId="47" fillId="0" borderId="45" xfId="62" applyFont="1" applyFill="1" applyBorder="1" applyAlignment="1">
      <alignment horizontal="left" vertical="top" wrapText="1"/>
    </xf>
    <xf numFmtId="0" fontId="3" fillId="6" borderId="9" xfId="0" applyFont="1" applyFill="1" applyBorder="1" applyAlignment="1">
      <alignment horizontal="center" vertical="center" wrapText="1"/>
    </xf>
    <xf numFmtId="173" fontId="47" fillId="0" borderId="1" xfId="59" applyNumberFormat="1" applyFont="1" applyFill="1" applyBorder="1" applyAlignment="1">
      <alignment horizontal="left" vertical="top" wrapText="1"/>
    </xf>
    <xf numFmtId="173" fontId="47" fillId="0" borderId="15" xfId="59" applyNumberFormat="1" applyFont="1" applyFill="1" applyBorder="1" applyAlignment="1">
      <alignment horizontal="left" vertical="top" wrapText="1"/>
    </xf>
    <xf numFmtId="0" fontId="65" fillId="0" borderId="0" xfId="0" applyFont="1" applyAlignment="1">
      <alignment horizontal="left" vertical="top" wrapText="1"/>
    </xf>
    <xf numFmtId="166" fontId="41" fillId="0" borderId="0" xfId="0" applyNumberFormat="1" applyFont="1"/>
    <xf numFmtId="174" fontId="13" fillId="5" borderId="1" xfId="0" applyNumberFormat="1" applyFont="1" applyFill="1" applyBorder="1" applyAlignment="1">
      <alignment horizontal="center" vertical="center" wrapText="1"/>
    </xf>
    <xf numFmtId="0" fontId="93" fillId="8" borderId="9" xfId="0" applyFont="1" applyFill="1" applyBorder="1" applyAlignment="1">
      <alignment horizontal="center" vertical="center" wrapText="1"/>
    </xf>
    <xf numFmtId="167" fontId="99" fillId="6" borderId="1" xfId="0" applyNumberFormat="1" applyFont="1" applyFill="1" applyBorder="1" applyAlignment="1">
      <alignment vertical="center" wrapText="1"/>
    </xf>
    <xf numFmtId="0" fontId="61" fillId="6" borderId="1" xfId="0" applyFont="1" applyFill="1" applyBorder="1" applyAlignment="1">
      <alignment vertical="center" wrapText="1"/>
    </xf>
    <xf numFmtId="167" fontId="129" fillId="44" borderId="2" xfId="0" applyNumberFormat="1" applyFont="1" applyFill="1" applyBorder="1" applyAlignment="1">
      <alignment vertical="center" wrapText="1"/>
    </xf>
    <xf numFmtId="167" fontId="130" fillId="6" borderId="1" xfId="0" applyNumberFormat="1" applyFont="1" applyFill="1" applyBorder="1" applyAlignment="1">
      <alignment vertical="center" wrapText="1"/>
    </xf>
    <xf numFmtId="167" fontId="61" fillId="6" borderId="1" xfId="0" applyNumberFormat="1" applyFont="1" applyFill="1" applyBorder="1" applyAlignment="1">
      <alignment vertical="center" wrapText="1"/>
    </xf>
    <xf numFmtId="167" fontId="130" fillId="44" borderId="1" xfId="0" applyNumberFormat="1" applyFont="1" applyFill="1" applyBorder="1" applyAlignment="1">
      <alignment vertical="center" wrapText="1"/>
    </xf>
    <xf numFmtId="167" fontId="131" fillId="6" borderId="1" xfId="0" applyNumberFormat="1" applyFont="1" applyFill="1" applyBorder="1" applyAlignment="1">
      <alignment vertical="center" wrapText="1"/>
    </xf>
    <xf numFmtId="167" fontId="11" fillId="0" borderId="0" xfId="0" applyNumberFormat="1" applyFont="1"/>
    <xf numFmtId="0" fontId="7" fillId="6" borderId="5" xfId="0" applyFont="1" applyFill="1" applyBorder="1" applyAlignment="1">
      <alignment horizontal="center" vertical="center" wrapText="1"/>
    </xf>
    <xf numFmtId="0" fontId="2" fillId="3" borderId="2" xfId="0" applyFont="1" applyFill="1" applyBorder="1" applyAlignment="1">
      <alignment horizontal="left"/>
    </xf>
    <xf numFmtId="0" fontId="2" fillId="3" borderId="7" xfId="0" applyFont="1" applyFill="1" applyBorder="1" applyAlignment="1">
      <alignment horizontal="left"/>
    </xf>
    <xf numFmtId="0" fontId="11" fillId="6" borderId="2" xfId="0" applyFont="1" applyFill="1" applyBorder="1" applyAlignment="1">
      <alignment horizontal="center"/>
    </xf>
    <xf numFmtId="0" fontId="11" fillId="6" borderId="3" xfId="0" applyFont="1" applyFill="1" applyBorder="1" applyAlignment="1">
      <alignment horizontal="center"/>
    </xf>
    <xf numFmtId="0" fontId="11" fillId="6" borderId="7" xfId="0" applyFont="1" applyFill="1" applyBorder="1" applyAlignment="1">
      <alignment horizontal="center"/>
    </xf>
    <xf numFmtId="0" fontId="7" fillId="2" borderId="6"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41" borderId="2" xfId="0" applyFont="1" applyFill="1" applyBorder="1" applyAlignment="1">
      <alignment horizontal="center" vertical="center" wrapText="1"/>
    </xf>
    <xf numFmtId="0" fontId="7" fillId="41" borderId="3" xfId="0" applyFont="1" applyFill="1" applyBorder="1" applyAlignment="1">
      <alignment horizontal="center" vertical="center" wrapText="1"/>
    </xf>
    <xf numFmtId="0" fontId="7" fillId="41" borderId="7" xfId="0" applyFont="1" applyFill="1" applyBorder="1" applyAlignment="1">
      <alignment horizontal="center" vertical="center" wrapText="1"/>
    </xf>
    <xf numFmtId="0" fontId="7" fillId="5" borderId="1"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0" fillId="6" borderId="2" xfId="0" applyFill="1" applyBorder="1" applyAlignment="1">
      <alignment horizontal="center"/>
    </xf>
    <xf numFmtId="0" fontId="0" fillId="6" borderId="3" xfId="0" applyFill="1" applyBorder="1" applyAlignment="1">
      <alignment horizontal="center"/>
    </xf>
    <xf numFmtId="0" fontId="0" fillId="6" borderId="7" xfId="0" applyFill="1" applyBorder="1" applyAlignment="1">
      <alignment horizontal="center"/>
    </xf>
    <xf numFmtId="0" fontId="13" fillId="41" borderId="6" xfId="0" applyFont="1" applyFill="1" applyBorder="1" applyAlignment="1">
      <alignment horizontal="center" vertical="center" wrapText="1"/>
    </xf>
    <xf numFmtId="0" fontId="13" fillId="41" borderId="5" xfId="0" applyFont="1" applyFill="1" applyBorder="1" applyAlignment="1">
      <alignment horizontal="center" vertical="center" wrapText="1"/>
    </xf>
    <xf numFmtId="0" fontId="13" fillId="41" borderId="1" xfId="0" applyFont="1" applyFill="1" applyBorder="1" applyAlignment="1">
      <alignment horizontal="left" vertical="center" wrapText="1"/>
    </xf>
    <xf numFmtId="0" fontId="13" fillId="41" borderId="6" xfId="0" applyFont="1" applyFill="1" applyBorder="1" applyAlignment="1">
      <alignment horizontal="left" vertical="center" wrapText="1"/>
    </xf>
    <xf numFmtId="0" fontId="13" fillId="41" borderId="9" xfId="0" applyFont="1" applyFill="1" applyBorder="1" applyAlignment="1">
      <alignment horizontal="left" vertical="center" wrapText="1"/>
    </xf>
    <xf numFmtId="0" fontId="13" fillId="41" borderId="5" xfId="0" applyFont="1" applyFill="1" applyBorder="1" applyAlignment="1">
      <alignment horizontal="left" vertical="center" wrapText="1"/>
    </xf>
    <xf numFmtId="0" fontId="13" fillId="6" borderId="2" xfId="0" applyFont="1" applyFill="1" applyBorder="1" applyAlignment="1">
      <alignment horizontal="left" vertical="center" wrapText="1"/>
    </xf>
    <xf numFmtId="0" fontId="13" fillId="6" borderId="3" xfId="0" applyFont="1" applyFill="1" applyBorder="1" applyAlignment="1">
      <alignment horizontal="left" vertical="center" wrapText="1"/>
    </xf>
    <xf numFmtId="0" fontId="13" fillId="6" borderId="7" xfId="0" applyFont="1" applyFill="1" applyBorder="1" applyAlignment="1">
      <alignment horizontal="left" vertical="center" wrapText="1"/>
    </xf>
    <xf numFmtId="0" fontId="65" fillId="6" borderId="2" xfId="0" applyFont="1" applyFill="1" applyBorder="1" applyAlignment="1">
      <alignment horizontal="left" vertical="center" wrapText="1"/>
    </xf>
    <xf numFmtId="0" fontId="13" fillId="41" borderId="9" xfId="0" applyFont="1" applyFill="1" applyBorder="1" applyAlignment="1">
      <alignment horizontal="center" vertical="center" wrapText="1"/>
    </xf>
    <xf numFmtId="0" fontId="0" fillId="6" borderId="2" xfId="0" applyFill="1" applyBorder="1" applyAlignment="1">
      <alignment horizontal="center" vertical="top" wrapText="1"/>
    </xf>
    <xf numFmtId="0" fontId="0" fillId="6" borderId="3" xfId="0" applyFill="1" applyBorder="1" applyAlignment="1">
      <alignment horizontal="center" vertical="top" wrapText="1"/>
    </xf>
    <xf numFmtId="0" fontId="0" fillId="6" borderId="7" xfId="0" applyFill="1" applyBorder="1" applyAlignment="1">
      <alignment horizontal="center" vertical="top" wrapText="1"/>
    </xf>
    <xf numFmtId="0" fontId="56" fillId="0" borderId="0" xfId="0" applyFont="1" applyAlignment="1">
      <alignment horizontal="center" wrapText="1"/>
    </xf>
    <xf numFmtId="0" fontId="62" fillId="6" borderId="1" xfId="0" applyFont="1" applyFill="1" applyBorder="1" applyAlignment="1">
      <alignment horizontal="left" vertical="top" wrapText="1"/>
    </xf>
    <xf numFmtId="0" fontId="71" fillId="6" borderId="34" xfId="0" applyFont="1" applyFill="1" applyBorder="1" applyAlignment="1">
      <alignment horizontal="left" vertical="top" wrapText="1"/>
    </xf>
    <xf numFmtId="0" fontId="84" fillId="6" borderId="33" xfId="0" applyFont="1" applyFill="1" applyBorder="1" applyAlignment="1">
      <alignment horizontal="left" vertical="top" wrapText="1"/>
    </xf>
    <xf numFmtId="0" fontId="84" fillId="6" borderId="35" xfId="0" applyFont="1" applyFill="1" applyBorder="1" applyAlignment="1">
      <alignment horizontal="left" vertical="top" wrapText="1"/>
    </xf>
    <xf numFmtId="0" fontId="13" fillId="6" borderId="1" xfId="0" applyFont="1" applyFill="1" applyBorder="1" applyAlignment="1">
      <alignment horizontal="left" vertical="top" wrapText="1"/>
    </xf>
    <xf numFmtId="0" fontId="84" fillId="6" borderId="1" xfId="0" applyFont="1" applyFill="1" applyBorder="1" applyAlignment="1">
      <alignment horizontal="left" vertical="top" wrapText="1"/>
    </xf>
    <xf numFmtId="0" fontId="10" fillId="6" borderId="1" xfId="0" applyFont="1" applyFill="1" applyBorder="1" applyAlignment="1">
      <alignment vertical="top" wrapText="1"/>
    </xf>
    <xf numFmtId="0" fontId="84" fillId="6" borderId="1" xfId="0" applyFont="1" applyFill="1" applyBorder="1" applyAlignment="1">
      <alignment vertical="top" wrapText="1"/>
    </xf>
    <xf numFmtId="0" fontId="13" fillId="6" borderId="6" xfId="0" applyFont="1" applyFill="1" applyBorder="1" applyAlignment="1">
      <alignment horizontal="center" vertical="center" wrapText="1"/>
    </xf>
    <xf numFmtId="0" fontId="13" fillId="6" borderId="5" xfId="0" applyFont="1" applyFill="1" applyBorder="1" applyAlignment="1">
      <alignment horizontal="center" vertical="center" wrapText="1"/>
    </xf>
    <xf numFmtId="0" fontId="56" fillId="0" borderId="0" xfId="0" applyFont="1" applyAlignment="1">
      <alignment horizontal="left"/>
    </xf>
    <xf numFmtId="0" fontId="13" fillId="6" borderId="2" xfId="0" applyFont="1" applyFill="1" applyBorder="1" applyAlignment="1">
      <alignment horizontal="left" vertical="top" wrapText="1"/>
    </xf>
    <xf numFmtId="0" fontId="13" fillId="6" borderId="3" xfId="0" applyFont="1" applyFill="1" applyBorder="1" applyAlignment="1">
      <alignment horizontal="left" vertical="top" wrapText="1"/>
    </xf>
    <xf numFmtId="0" fontId="13" fillId="6" borderId="7" xfId="0" applyFont="1" applyFill="1" applyBorder="1" applyAlignment="1">
      <alignment horizontal="left" vertical="top" wrapText="1"/>
    </xf>
    <xf numFmtId="0" fontId="12" fillId="0" borderId="0" xfId="0" applyFont="1" applyAlignment="1">
      <alignment horizontal="left" vertical="top" wrapText="1"/>
    </xf>
    <xf numFmtId="166" fontId="13" fillId="41" borderId="6" xfId="0" applyNumberFormat="1" applyFont="1" applyFill="1" applyBorder="1" applyAlignment="1">
      <alignment horizontal="center" vertical="center" wrapText="1"/>
    </xf>
    <xf numFmtId="166" fontId="13" fillId="41" borderId="5" xfId="0" applyNumberFormat="1" applyFont="1" applyFill="1" applyBorder="1" applyAlignment="1">
      <alignment horizontal="center" vertical="center" wrapText="1"/>
    </xf>
    <xf numFmtId="0" fontId="10" fillId="6" borderId="2" xfId="0" applyFont="1" applyFill="1" applyBorder="1" applyAlignment="1">
      <alignment horizontal="left" vertical="top" wrapText="1"/>
    </xf>
    <xf numFmtId="0" fontId="10" fillId="6" borderId="3" xfId="0" applyFont="1" applyFill="1" applyBorder="1" applyAlignment="1">
      <alignment horizontal="left" vertical="top" wrapText="1"/>
    </xf>
    <xf numFmtId="0" fontId="10" fillId="6" borderId="7" xfId="0" applyFont="1" applyFill="1" applyBorder="1" applyAlignment="1">
      <alignment horizontal="left" vertical="top" wrapText="1"/>
    </xf>
    <xf numFmtId="0" fontId="0" fillId="6" borderId="2" xfId="0" applyFill="1" applyBorder="1" applyAlignment="1">
      <alignment horizontal="left" vertical="top" wrapText="1"/>
    </xf>
    <xf numFmtId="0" fontId="0" fillId="6" borderId="3" xfId="0" applyFill="1" applyBorder="1" applyAlignment="1">
      <alignment horizontal="left" vertical="top" wrapText="1"/>
    </xf>
    <xf numFmtId="0" fontId="0" fillId="6" borderId="7" xfId="0" applyFill="1" applyBorder="1" applyAlignment="1">
      <alignment horizontal="left" vertical="top" wrapText="1"/>
    </xf>
    <xf numFmtId="0" fontId="7" fillId="42" borderId="1" xfId="0" applyFont="1" applyFill="1" applyBorder="1" applyAlignment="1">
      <alignment horizontal="center" vertical="center" wrapText="1"/>
    </xf>
    <xf numFmtId="0" fontId="13" fillId="6" borderId="1" xfId="0" applyFont="1" applyFill="1" applyBorder="1" applyAlignment="1">
      <alignment horizontal="left" vertical="center" wrapText="1"/>
    </xf>
    <xf numFmtId="0" fontId="65" fillId="6" borderId="1" xfId="0" applyFont="1" applyFill="1" applyBorder="1" applyAlignment="1">
      <alignment horizontal="left" vertical="top" wrapText="1"/>
    </xf>
    <xf numFmtId="0" fontId="13" fillId="6" borderId="34" xfId="0" applyFont="1" applyFill="1" applyBorder="1" applyAlignment="1">
      <alignment horizontal="left" vertical="top" wrapText="1"/>
    </xf>
    <xf numFmtId="0" fontId="13" fillId="6" borderId="33" xfId="0" applyFont="1" applyFill="1" applyBorder="1" applyAlignment="1">
      <alignment horizontal="left" vertical="top" wrapText="1"/>
    </xf>
    <xf numFmtId="0" fontId="13" fillId="6" borderId="35" xfId="0" applyFont="1" applyFill="1" applyBorder="1" applyAlignment="1">
      <alignment horizontal="left" vertical="top" wrapText="1"/>
    </xf>
    <xf numFmtId="0" fontId="13" fillId="6" borderId="36" xfId="0" applyFont="1" applyFill="1" applyBorder="1" applyAlignment="1">
      <alignment horizontal="left" vertical="top" wrapText="1"/>
    </xf>
    <xf numFmtId="0" fontId="13" fillId="6" borderId="0" xfId="0" applyFont="1" applyFill="1" applyAlignment="1">
      <alignment horizontal="left" vertical="top" wrapText="1"/>
    </xf>
    <xf numFmtId="0" fontId="13" fillId="6" borderId="37" xfId="0" applyFont="1" applyFill="1" applyBorder="1" applyAlignment="1">
      <alignment horizontal="left" vertical="top" wrapText="1"/>
    </xf>
    <xf numFmtId="0" fontId="115" fillId="41" borderId="2" xfId="0" applyFont="1" applyFill="1" applyBorder="1" applyAlignment="1">
      <alignment horizontal="center" vertical="center" wrapText="1"/>
    </xf>
    <xf numFmtId="0" fontId="115" fillId="41" borderId="3" xfId="0" applyFont="1" applyFill="1" applyBorder="1" applyAlignment="1">
      <alignment horizontal="center" vertical="center" wrapText="1"/>
    </xf>
    <xf numFmtId="0" fontId="115" fillId="41" borderId="7" xfId="0" applyFont="1" applyFill="1" applyBorder="1" applyAlignment="1">
      <alignment horizontal="center" vertical="center" wrapText="1"/>
    </xf>
    <xf numFmtId="0" fontId="70" fillId="6" borderId="1" xfId="0" applyFont="1" applyFill="1" applyBorder="1" applyAlignment="1">
      <alignment horizontal="center" vertical="center" wrapText="1"/>
    </xf>
    <xf numFmtId="0" fontId="70" fillId="6" borderId="2" xfId="0" applyFont="1" applyFill="1" applyBorder="1" applyAlignment="1">
      <alignment horizontal="center" vertical="center" wrapText="1"/>
    </xf>
    <xf numFmtId="0" fontId="70" fillId="6" borderId="3" xfId="0" applyFont="1" applyFill="1" applyBorder="1" applyAlignment="1">
      <alignment horizontal="center" vertical="center" wrapText="1"/>
    </xf>
    <xf numFmtId="0" fontId="70" fillId="6" borderId="7" xfId="0" applyFont="1" applyFill="1" applyBorder="1" applyAlignment="1">
      <alignment horizontal="center" vertical="center" wrapText="1"/>
    </xf>
    <xf numFmtId="0" fontId="70" fillId="6" borderId="2" xfId="0" applyFont="1" applyFill="1" applyBorder="1" applyAlignment="1">
      <alignment horizontal="center" vertical="center"/>
    </xf>
    <xf numFmtId="0" fontId="70" fillId="6" borderId="3" xfId="0" applyFont="1" applyFill="1" applyBorder="1" applyAlignment="1">
      <alignment horizontal="center" vertical="center"/>
    </xf>
    <xf numFmtId="0" fontId="70" fillId="6" borderId="7" xfId="0" applyFont="1" applyFill="1" applyBorder="1" applyAlignment="1">
      <alignment horizontal="center" vertical="center"/>
    </xf>
    <xf numFmtId="0" fontId="13" fillId="6" borderId="1" xfId="0" applyFont="1" applyFill="1" applyBorder="1" applyAlignment="1">
      <alignment horizontal="center" vertical="center" wrapText="1"/>
    </xf>
    <xf numFmtId="0" fontId="70" fillId="6" borderId="2" xfId="0" applyFont="1" applyFill="1" applyBorder="1" applyAlignment="1">
      <alignment horizontal="center" vertical="top" wrapText="1"/>
    </xf>
    <xf numFmtId="0" fontId="70" fillId="6" borderId="3" xfId="0" applyFont="1" applyFill="1" applyBorder="1" applyAlignment="1">
      <alignment horizontal="center" vertical="top" wrapText="1"/>
    </xf>
    <xf numFmtId="0" fontId="70" fillId="6" borderId="7" xfId="0" applyFont="1" applyFill="1" applyBorder="1" applyAlignment="1">
      <alignment horizontal="center" vertical="top" wrapText="1"/>
    </xf>
    <xf numFmtId="0" fontId="13" fillId="6" borderId="3" xfId="0" applyFont="1" applyFill="1" applyBorder="1" applyAlignment="1">
      <alignment horizontal="center"/>
    </xf>
    <xf numFmtId="0" fontId="13" fillId="6" borderId="7" xfId="0" applyFont="1" applyFill="1" applyBorder="1" applyAlignment="1">
      <alignment horizontal="center"/>
    </xf>
    <xf numFmtId="0" fontId="65" fillId="6" borderId="2" xfId="0" applyFont="1" applyFill="1" applyBorder="1" applyAlignment="1">
      <alignment horizontal="left" vertical="top" wrapText="1"/>
    </xf>
    <xf numFmtId="0" fontId="65" fillId="6" borderId="3" xfId="0" applyFont="1" applyFill="1" applyBorder="1" applyAlignment="1">
      <alignment horizontal="left" vertical="top" wrapText="1"/>
    </xf>
    <xf numFmtId="0" fontId="65" fillId="6" borderId="7" xfId="0" applyFont="1" applyFill="1" applyBorder="1" applyAlignment="1">
      <alignment horizontal="left" vertical="top" wrapText="1"/>
    </xf>
    <xf numFmtId="0" fontId="13" fillId="41" borderId="1" xfId="0" applyFont="1" applyFill="1" applyBorder="1" applyAlignment="1">
      <alignment horizontal="center" vertical="center" wrapText="1"/>
    </xf>
    <xf numFmtId="0" fontId="13" fillId="41" borderId="35" xfId="0" applyFont="1" applyFill="1" applyBorder="1" applyAlignment="1">
      <alignment horizontal="center" vertical="center" wrapText="1"/>
    </xf>
    <xf numFmtId="0" fontId="13" fillId="41" borderId="8" xfId="0" applyFont="1" applyFill="1" applyBorder="1" applyAlignment="1">
      <alignment horizontal="center" vertical="center" wrapText="1"/>
    </xf>
    <xf numFmtId="0" fontId="71" fillId="0" borderId="2" xfId="0" applyFont="1" applyBorder="1" applyAlignment="1">
      <alignment horizontal="center" vertical="center" wrapText="1"/>
    </xf>
    <xf numFmtId="0" fontId="71" fillId="0" borderId="7" xfId="0" applyFont="1" applyBorder="1" applyAlignment="1">
      <alignment horizontal="center" vertical="center" wrapText="1"/>
    </xf>
    <xf numFmtId="0" fontId="52" fillId="0" borderId="2" xfId="0" applyFont="1" applyBorder="1" applyAlignment="1">
      <alignment horizontal="center" vertical="center"/>
    </xf>
    <xf numFmtId="0" fontId="52" fillId="0" borderId="3" xfId="0" applyFont="1" applyBorder="1" applyAlignment="1">
      <alignment horizontal="center" vertical="center"/>
    </xf>
    <xf numFmtId="0" fontId="52" fillId="0" borderId="7" xfId="0" applyFont="1" applyBorder="1" applyAlignment="1">
      <alignment horizontal="center" vertical="center"/>
    </xf>
    <xf numFmtId="0" fontId="119" fillId="0" borderId="0" xfId="0" applyFont="1" applyAlignment="1">
      <alignment horizontal="center" vertical="center" wrapText="1"/>
    </xf>
    <xf numFmtId="0" fontId="52" fillId="0" borderId="0" xfId="0" applyFont="1" applyAlignment="1">
      <alignment horizontal="center" vertical="center" wrapText="1"/>
    </xf>
    <xf numFmtId="0" fontId="71" fillId="0" borderId="1" xfId="0" applyFont="1" applyBorder="1" applyAlignment="1">
      <alignment horizontal="center" vertical="center" wrapText="1"/>
    </xf>
    <xf numFmtId="0" fontId="70" fillId="0" borderId="0" xfId="0" applyFont="1" applyAlignment="1">
      <alignment horizontal="left"/>
    </xf>
    <xf numFmtId="0" fontId="70" fillId="0" borderId="0" xfId="0" applyFont="1" applyAlignment="1">
      <alignment horizontal="left" vertical="center"/>
    </xf>
    <xf numFmtId="0" fontId="70" fillId="6" borderId="1" xfId="0" applyFont="1" applyFill="1" applyBorder="1" applyAlignment="1">
      <alignment horizontal="center" vertical="top" wrapText="1"/>
    </xf>
    <xf numFmtId="0" fontId="70" fillId="6" borderId="1" xfId="0" applyFont="1" applyFill="1" applyBorder="1" applyAlignment="1">
      <alignment horizontal="center" wrapText="1"/>
    </xf>
    <xf numFmtId="0" fontId="70" fillId="6" borderId="1" xfId="0" applyFont="1" applyFill="1" applyBorder="1" applyAlignment="1">
      <alignment horizontal="center" vertical="center"/>
    </xf>
    <xf numFmtId="0" fontId="13" fillId="6" borderId="1" xfId="0" applyFont="1" applyFill="1" applyBorder="1" applyAlignment="1">
      <alignment horizontal="center" vertical="center"/>
    </xf>
    <xf numFmtId="0" fontId="13" fillId="6" borderId="6" xfId="0" applyFont="1" applyFill="1" applyBorder="1" applyAlignment="1">
      <alignment horizontal="left" vertical="top" wrapText="1"/>
    </xf>
    <xf numFmtId="0" fontId="13" fillId="6" borderId="9" xfId="0" applyFont="1" applyFill="1" applyBorder="1" applyAlignment="1">
      <alignment horizontal="left" vertical="top" wrapText="1"/>
    </xf>
    <xf numFmtId="0" fontId="13" fillId="6" borderId="5" xfId="0" applyFont="1" applyFill="1" applyBorder="1" applyAlignment="1">
      <alignment horizontal="left" vertical="top" wrapText="1"/>
    </xf>
    <xf numFmtId="0" fontId="118" fillId="41" borderId="6" xfId="0" applyFont="1" applyFill="1" applyBorder="1" applyAlignment="1">
      <alignment horizontal="center" vertical="center" wrapText="1"/>
    </xf>
    <xf numFmtId="0" fontId="118" fillId="41" borderId="5" xfId="0" applyFont="1" applyFill="1" applyBorder="1" applyAlignment="1">
      <alignment horizontal="center" vertical="center" wrapText="1"/>
    </xf>
    <xf numFmtId="0" fontId="70" fillId="41" borderId="6" xfId="0" applyFont="1" applyFill="1" applyBorder="1" applyAlignment="1">
      <alignment horizontal="center" vertical="center" wrapText="1"/>
    </xf>
    <xf numFmtId="0" fontId="70" fillId="41" borderId="5" xfId="0" applyFont="1" applyFill="1" applyBorder="1" applyAlignment="1">
      <alignment horizontal="center" vertical="center" wrapText="1"/>
    </xf>
    <xf numFmtId="0" fontId="13" fillId="6" borderId="2" xfId="0" applyFont="1" applyFill="1" applyBorder="1" applyAlignment="1">
      <alignment horizontal="center"/>
    </xf>
    <xf numFmtId="0" fontId="13" fillId="6" borderId="36" xfId="0" applyFont="1" applyFill="1" applyBorder="1" applyAlignment="1">
      <alignment horizontal="left" vertical="center" wrapText="1"/>
    </xf>
    <xf numFmtId="0" fontId="13" fillId="6" borderId="0" xfId="0" applyFont="1" applyFill="1" applyAlignment="1">
      <alignment horizontal="left" vertical="center" wrapText="1"/>
    </xf>
    <xf numFmtId="0" fontId="13" fillId="6" borderId="32" xfId="0" applyFont="1" applyFill="1" applyBorder="1" applyAlignment="1">
      <alignment horizontal="left" vertical="top" wrapText="1"/>
    </xf>
    <xf numFmtId="0" fontId="13" fillId="6" borderId="10" xfId="0" applyFont="1" applyFill="1" applyBorder="1" applyAlignment="1">
      <alignment horizontal="left" vertical="top" wrapText="1"/>
    </xf>
    <xf numFmtId="0" fontId="13" fillId="6" borderId="8" xfId="0" applyFont="1" applyFill="1" applyBorder="1" applyAlignment="1">
      <alignment horizontal="left" vertical="top" wrapText="1"/>
    </xf>
    <xf numFmtId="0" fontId="65" fillId="6" borderId="34" xfId="0" applyFont="1" applyFill="1" applyBorder="1" applyAlignment="1">
      <alignment horizontal="left" vertical="top" wrapText="1"/>
    </xf>
    <xf numFmtId="0" fontId="65" fillId="6" borderId="33" xfId="0" applyFont="1" applyFill="1" applyBorder="1" applyAlignment="1">
      <alignment horizontal="left" vertical="top" wrapText="1"/>
    </xf>
    <xf numFmtId="0" fontId="65" fillId="6" borderId="35" xfId="0" applyFont="1" applyFill="1" applyBorder="1" applyAlignment="1">
      <alignment horizontal="left" vertical="top" wrapText="1"/>
    </xf>
    <xf numFmtId="0" fontId="65" fillId="6" borderId="36" xfId="0" applyFont="1" applyFill="1" applyBorder="1" applyAlignment="1">
      <alignment horizontal="left" vertical="top" wrapText="1"/>
    </xf>
    <xf numFmtId="0" fontId="65" fillId="6" borderId="0" xfId="0" applyFont="1" applyFill="1" applyAlignment="1">
      <alignment horizontal="left" vertical="top" wrapText="1"/>
    </xf>
    <xf numFmtId="0" fontId="65" fillId="6" borderId="37" xfId="0" applyFont="1" applyFill="1" applyBorder="1" applyAlignment="1">
      <alignment horizontal="left" vertical="top" wrapText="1"/>
    </xf>
    <xf numFmtId="0" fontId="65" fillId="6" borderId="32" xfId="0" applyFont="1" applyFill="1" applyBorder="1" applyAlignment="1">
      <alignment horizontal="left" vertical="top" wrapText="1"/>
    </xf>
    <xf numFmtId="0" fontId="65" fillId="6" borderId="10" xfId="0" applyFont="1" applyFill="1" applyBorder="1" applyAlignment="1">
      <alignment horizontal="left" vertical="top" wrapText="1"/>
    </xf>
    <xf numFmtId="0" fontId="65" fillId="6" borderId="8" xfId="0" applyFont="1" applyFill="1" applyBorder="1" applyAlignment="1">
      <alignment horizontal="left" vertical="top" wrapText="1"/>
    </xf>
    <xf numFmtId="0" fontId="115" fillId="41" borderId="0" xfId="0" applyFont="1" applyFill="1" applyAlignment="1">
      <alignment horizontal="center" vertical="center" wrapText="1"/>
    </xf>
    <xf numFmtId="0" fontId="114" fillId="6" borderId="6" xfId="0" applyFont="1" applyFill="1" applyBorder="1" applyAlignment="1">
      <alignment horizontal="center" vertical="center"/>
    </xf>
    <xf numFmtId="0" fontId="114" fillId="6" borderId="9" xfId="0" applyFont="1" applyFill="1" applyBorder="1" applyAlignment="1">
      <alignment horizontal="center" vertical="center"/>
    </xf>
    <xf numFmtId="0" fontId="114" fillId="6" borderId="5" xfId="0" applyFont="1" applyFill="1" applyBorder="1" applyAlignment="1">
      <alignment horizontal="center" vertical="center"/>
    </xf>
    <xf numFmtId="0" fontId="13" fillId="41" borderId="34" xfId="0" applyFont="1" applyFill="1" applyBorder="1" applyAlignment="1">
      <alignment horizontal="center" vertical="center" wrapText="1"/>
    </xf>
    <xf numFmtId="0" fontId="13" fillId="41" borderId="36" xfId="0" applyFont="1" applyFill="1" applyBorder="1" applyAlignment="1">
      <alignment horizontal="center" vertical="center" wrapText="1"/>
    </xf>
    <xf numFmtId="0" fontId="13" fillId="41" borderId="32" xfId="0" applyFont="1" applyFill="1" applyBorder="1" applyAlignment="1">
      <alignment horizontal="center" vertical="center" wrapText="1"/>
    </xf>
    <xf numFmtId="0" fontId="114" fillId="6" borderId="2" xfId="0" applyFont="1" applyFill="1" applyBorder="1" applyAlignment="1">
      <alignment horizontal="center"/>
    </xf>
    <xf numFmtId="0" fontId="114" fillId="6" borderId="3" xfId="0" applyFont="1" applyFill="1" applyBorder="1" applyAlignment="1">
      <alignment horizontal="center"/>
    </xf>
    <xf numFmtId="0" fontId="114" fillId="6" borderId="7" xfId="0" applyFont="1" applyFill="1" applyBorder="1" applyAlignment="1">
      <alignment horizontal="center"/>
    </xf>
    <xf numFmtId="0" fontId="13" fillId="6" borderId="2" xfId="0" applyFont="1" applyFill="1" applyBorder="1" applyAlignment="1">
      <alignment vertical="top" wrapText="1"/>
    </xf>
    <xf numFmtId="0" fontId="13" fillId="6" borderId="3" xfId="0" applyFont="1" applyFill="1" applyBorder="1" applyAlignment="1">
      <alignment vertical="top" wrapText="1"/>
    </xf>
    <xf numFmtId="0" fontId="13" fillId="6" borderId="7" xfId="0" applyFont="1" applyFill="1" applyBorder="1" applyAlignment="1">
      <alignment vertical="top" wrapText="1"/>
    </xf>
    <xf numFmtId="0" fontId="91" fillId="42" borderId="2" xfId="0" applyFont="1" applyFill="1" applyBorder="1" applyAlignment="1">
      <alignment horizontal="center" vertical="center" wrapText="1"/>
    </xf>
    <xf numFmtId="0" fontId="91" fillId="42" borderId="7"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47" fillId="5" borderId="6" xfId="0" applyFont="1" applyFill="1" applyBorder="1" applyAlignment="1">
      <alignment horizontal="center" vertical="center" wrapText="1"/>
    </xf>
    <xf numFmtId="0" fontId="47" fillId="5" borderId="5" xfId="0" applyFont="1" applyFill="1" applyBorder="1" applyAlignment="1">
      <alignment horizontal="center" vertical="center" wrapText="1"/>
    </xf>
    <xf numFmtId="0" fontId="44" fillId="44" borderId="6" xfId="0" applyFont="1" applyFill="1" applyBorder="1" applyAlignment="1">
      <alignment horizontal="center" vertical="center" wrapText="1"/>
    </xf>
    <xf numFmtId="0" fontId="44" fillId="44" borderId="9" xfId="0" applyFont="1" applyFill="1" applyBorder="1" applyAlignment="1">
      <alignment horizontal="center" vertical="center" wrapText="1"/>
    </xf>
    <xf numFmtId="0" fontId="44" fillId="44" borderId="5"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52" fillId="44" borderId="6" xfId="0" applyFont="1" applyFill="1" applyBorder="1" applyAlignment="1">
      <alignment horizontal="center" vertical="center" wrapText="1"/>
    </xf>
    <xf numFmtId="0" fontId="52" fillId="44" borderId="9" xfId="0" applyFont="1" applyFill="1" applyBorder="1" applyAlignment="1">
      <alignment horizontal="center" vertical="center" wrapText="1"/>
    </xf>
    <xf numFmtId="0" fontId="52" fillId="44" borderId="5" xfId="0" applyFont="1" applyFill="1" applyBorder="1" applyAlignment="1">
      <alignment horizontal="center" vertical="center" wrapText="1"/>
    </xf>
    <xf numFmtId="0" fontId="53" fillId="0" borderId="0" xfId="0" applyFont="1" applyBorder="1" applyAlignment="1"/>
    <xf numFmtId="0" fontId="47" fillId="5"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7" fillId="2"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2" borderId="1" xfId="0" applyFont="1" applyFill="1" applyBorder="1" applyAlignment="1">
      <alignment horizontal="justify"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49" fontId="2" fillId="2" borderId="6" xfId="0" applyNumberFormat="1" applyFont="1" applyFill="1" applyBorder="1" applyAlignment="1">
      <alignment horizontal="center" vertical="center" wrapText="1"/>
    </xf>
    <xf numFmtId="49" fontId="2" fillId="2" borderId="9" xfId="0" applyNumberFormat="1" applyFont="1" applyFill="1" applyBorder="1" applyAlignment="1">
      <alignment horizontal="center" vertical="center" wrapText="1"/>
    </xf>
    <xf numFmtId="49" fontId="2" fillId="2" borderId="5" xfId="0" applyNumberFormat="1" applyFont="1" applyFill="1" applyBorder="1" applyAlignment="1">
      <alignment horizontal="center" vertical="center" wrapText="1"/>
    </xf>
    <xf numFmtId="0" fontId="2" fillId="2" borderId="6" xfId="0" applyFont="1" applyFill="1" applyBorder="1" applyAlignment="1">
      <alignment horizontal="center" vertical="center" wrapText="1"/>
    </xf>
    <xf numFmtId="0" fontId="93" fillId="8" borderId="9" xfId="0" applyFont="1" applyFill="1" applyBorder="1" applyAlignment="1">
      <alignment horizontal="center" vertical="center" wrapText="1"/>
    </xf>
    <xf numFmtId="0" fontId="12" fillId="0" borderId="0" xfId="0" applyFont="1" applyAlignment="1">
      <alignment horizontal="left" vertical="center" wrapText="1"/>
    </xf>
    <xf numFmtId="0" fontId="44" fillId="5" borderId="11" xfId="64" applyFont="1" applyFill="1" applyBorder="1" applyAlignment="1">
      <alignment horizontal="center" vertical="center" wrapText="1"/>
    </xf>
    <xf numFmtId="0" fontId="44" fillId="5" borderId="12" xfId="64" applyFont="1" applyFill="1" applyBorder="1" applyAlignment="1">
      <alignment horizontal="center" vertical="center" wrapText="1"/>
    </xf>
    <xf numFmtId="0" fontId="44" fillId="5" borderId="13" xfId="64" applyFont="1" applyFill="1" applyBorder="1" applyAlignment="1">
      <alignment horizontal="center" vertical="center" wrapText="1"/>
    </xf>
    <xf numFmtId="0" fontId="12" fillId="0" borderId="0" xfId="63" applyFont="1" applyBorder="1" applyAlignment="1">
      <alignment horizontal="center" vertical="center" wrapText="1"/>
    </xf>
    <xf numFmtId="0" fontId="71" fillId="5" borderId="11" xfId="64" applyFont="1" applyFill="1" applyBorder="1" applyAlignment="1">
      <alignment horizontal="center" vertical="center" wrapText="1"/>
    </xf>
    <xf numFmtId="0" fontId="71" fillId="5" borderId="12" xfId="64" applyFont="1" applyFill="1" applyBorder="1" applyAlignment="1">
      <alignment horizontal="center" vertical="center" wrapText="1"/>
    </xf>
    <xf numFmtId="0" fontId="71" fillId="5" borderId="16" xfId="64" applyFont="1" applyFill="1" applyBorder="1" applyAlignment="1">
      <alignment horizontal="center" vertical="center" wrapText="1"/>
    </xf>
    <xf numFmtId="0" fontId="71" fillId="5" borderId="41" xfId="64" applyFont="1" applyFill="1" applyBorder="1" applyAlignment="1">
      <alignment horizontal="center" vertical="center" wrapText="1"/>
    </xf>
    <xf numFmtId="0" fontId="67" fillId="5" borderId="13" xfId="64" applyFont="1" applyFill="1" applyBorder="1" applyAlignment="1">
      <alignment horizontal="center" vertical="center" wrapText="1"/>
    </xf>
    <xf numFmtId="0" fontId="67" fillId="5" borderId="42" xfId="64" applyFont="1" applyFill="1" applyBorder="1" applyAlignment="1">
      <alignment horizontal="center" vertical="center" wrapText="1"/>
    </xf>
    <xf numFmtId="0" fontId="44" fillId="5" borderId="40" xfId="64" applyFont="1" applyFill="1" applyBorder="1" applyAlignment="1">
      <alignment horizontal="center" vertical="center" wrapText="1"/>
    </xf>
    <xf numFmtId="0" fontId="12" fillId="0" borderId="0" xfId="0" applyFont="1" applyAlignment="1">
      <alignment horizontal="center" vertical="center" wrapText="1"/>
    </xf>
    <xf numFmtId="0" fontId="7" fillId="2" borderId="14"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8" borderId="12" xfId="0" applyFont="1" applyFill="1" applyBorder="1" applyAlignment="1">
      <alignment horizontal="center" vertical="center" wrapText="1"/>
    </xf>
    <xf numFmtId="0" fontId="7" fillId="8" borderId="13" xfId="0" applyFont="1" applyFill="1" applyBorder="1" applyAlignment="1">
      <alignment horizontal="center" vertical="center" wrapText="1"/>
    </xf>
    <xf numFmtId="0" fontId="7" fillId="2" borderId="11" xfId="0" applyFont="1" applyFill="1" applyBorder="1" applyAlignment="1">
      <alignment horizontal="center" vertical="center" textRotation="90" wrapText="1"/>
    </xf>
    <xf numFmtId="0" fontId="7" fillId="2" borderId="14" xfId="0" applyFont="1" applyFill="1" applyBorder="1" applyAlignment="1">
      <alignment horizontal="center" vertical="center" textRotation="90"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47" fillId="2" borderId="12" xfId="0" applyFont="1" applyFill="1" applyBorder="1" applyAlignment="1">
      <alignment horizontal="center" vertical="center" wrapText="1"/>
    </xf>
    <xf numFmtId="0" fontId="47" fillId="2" borderId="11" xfId="0" applyFont="1" applyFill="1" applyBorder="1" applyAlignment="1">
      <alignment horizontal="center" vertical="center" wrapText="1"/>
    </xf>
    <xf numFmtId="0" fontId="4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12" xfId="0" applyFont="1" applyFill="1" applyBorder="1" applyAlignment="1">
      <alignment horizontal="center" vertical="center" textRotation="90" wrapText="1"/>
    </xf>
    <xf numFmtId="0" fontId="7" fillId="2" borderId="1" xfId="0" applyFont="1" applyFill="1" applyBorder="1" applyAlignment="1">
      <alignment horizontal="center" vertical="center" textRotation="90" wrapText="1"/>
    </xf>
    <xf numFmtId="0" fontId="7" fillId="2" borderId="13" xfId="0" applyFont="1" applyFill="1" applyBorder="1" applyAlignment="1">
      <alignment vertical="center" textRotation="90" wrapText="1"/>
    </xf>
    <xf numFmtId="0" fontId="7" fillId="2" borderId="15" xfId="0" applyFont="1" applyFill="1" applyBorder="1" applyAlignment="1">
      <alignment vertical="center" textRotation="90" wrapText="1"/>
    </xf>
    <xf numFmtId="0" fontId="7" fillId="8" borderId="1" xfId="0" applyFont="1" applyFill="1" applyBorder="1" applyAlignment="1">
      <alignment horizontal="center" vertical="center" wrapText="1"/>
    </xf>
    <xf numFmtId="0" fontId="7" fillId="8" borderId="15" xfId="0" applyFont="1" applyFill="1" applyBorder="1" applyAlignment="1">
      <alignment horizontal="center" vertical="center" wrapText="1"/>
    </xf>
    <xf numFmtId="0" fontId="4" fillId="6" borderId="19" xfId="0" applyFont="1" applyFill="1" applyBorder="1" applyAlignment="1">
      <alignment horizontal="center" vertical="center" wrapText="1"/>
    </xf>
    <xf numFmtId="0" fontId="4" fillId="6" borderId="38" xfId="0" applyFont="1" applyFill="1" applyBorder="1" applyAlignment="1">
      <alignment horizontal="center" vertical="center" wrapText="1"/>
    </xf>
    <xf numFmtId="0" fontId="4" fillId="6" borderId="39"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7" fillId="6" borderId="9"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7" fillId="8" borderId="11" xfId="0" applyFont="1" applyFill="1" applyBorder="1" applyAlignment="1">
      <alignment horizontal="center" vertical="center" wrapText="1"/>
    </xf>
    <xf numFmtId="0" fontId="7" fillId="8" borderId="14" xfId="0" applyFont="1" applyFill="1" applyBorder="1" applyAlignment="1">
      <alignment horizontal="center" vertical="center" wrapText="1"/>
    </xf>
    <xf numFmtId="0" fontId="45" fillId="0" borderId="0" xfId="0" applyFont="1" applyAlignment="1">
      <alignment horizontal="center"/>
    </xf>
    <xf numFmtId="0" fontId="7" fillId="2" borderId="20" xfId="0" applyFont="1" applyFill="1" applyBorder="1" applyAlignment="1">
      <alignment horizontal="left" vertical="center" wrapText="1"/>
    </xf>
    <xf numFmtId="0" fontId="7" fillId="2" borderId="21" xfId="0" applyFont="1" applyFill="1" applyBorder="1" applyAlignment="1">
      <alignment horizontal="left" vertical="center" wrapText="1"/>
    </xf>
    <xf numFmtId="0" fontId="7" fillId="2" borderId="17" xfId="0" applyFont="1" applyFill="1" applyBorder="1" applyAlignment="1">
      <alignment horizontal="left" vertical="center" wrapText="1"/>
    </xf>
    <xf numFmtId="0" fontId="7" fillId="2" borderId="11"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8" xfId="0" applyFont="1" applyFill="1" applyBorder="1" applyAlignment="1">
      <alignment horizontal="center" vertical="center" textRotation="90" wrapText="1"/>
    </xf>
    <xf numFmtId="0" fontId="7" fillId="2" borderId="7" xfId="0" applyFont="1" applyFill="1" applyBorder="1" applyAlignment="1">
      <alignment horizontal="center" vertical="center" textRotation="90" wrapText="1"/>
    </xf>
    <xf numFmtId="0" fontId="0" fillId="0" borderId="10" xfId="0" applyBorder="1" applyAlignment="1">
      <alignment horizontal="right"/>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7" xfId="0" applyFont="1" applyFill="1" applyBorder="1" applyAlignment="1">
      <alignment horizontal="left" vertical="center" wrapText="1"/>
    </xf>
    <xf numFmtId="0" fontId="21" fillId="2" borderId="1" xfId="0" applyFont="1" applyFill="1" applyBorder="1" applyAlignment="1">
      <alignment horizontal="center" vertical="center" wrapText="1"/>
    </xf>
    <xf numFmtId="0" fontId="0" fillId="0" borderId="0" xfId="0" applyAlignment="1">
      <alignment horizontal="center"/>
    </xf>
    <xf numFmtId="0" fontId="7" fillId="2" borderId="1" xfId="0" applyFont="1" applyFill="1" applyBorder="1" applyAlignment="1">
      <alignment vertical="center" wrapText="1"/>
    </xf>
    <xf numFmtId="0" fontId="13" fillId="2" borderId="1" xfId="0" applyFont="1" applyFill="1" applyBorder="1" applyAlignment="1">
      <alignment horizontal="left" vertical="center" wrapText="1"/>
    </xf>
    <xf numFmtId="0" fontId="0" fillId="6" borderId="1" xfId="0" applyFill="1" applyBorder="1" applyAlignment="1">
      <alignment horizontal="center"/>
    </xf>
    <xf numFmtId="0" fontId="127" fillId="47" borderId="2" xfId="0" applyFont="1" applyFill="1" applyBorder="1" applyAlignment="1">
      <alignment horizontal="left" vertical="center" wrapText="1"/>
    </xf>
    <xf numFmtId="0" fontId="128" fillId="0" borderId="3" xfId="0" applyFont="1" applyBorder="1" applyAlignment="1">
      <alignment horizontal="left" vertical="center" wrapText="1"/>
    </xf>
    <xf numFmtId="0" fontId="128" fillId="0" borderId="7" xfId="0" applyFont="1" applyBorder="1" applyAlignment="1">
      <alignment horizontal="left" vertical="center" wrapText="1"/>
    </xf>
    <xf numFmtId="165" fontId="11" fillId="0" borderId="0" xfId="59" applyNumberFormat="1" applyFont="1" applyFill="1" applyAlignment="1" applyProtection="1">
      <alignment horizontal="center" vertical="center" wrapText="1"/>
    </xf>
    <xf numFmtId="0" fontId="67" fillId="0" borderId="0" xfId="0" applyFont="1" applyFill="1" applyBorder="1" applyAlignment="1">
      <alignment horizontal="left" wrapText="1"/>
    </xf>
    <xf numFmtId="0" fontId="70" fillId="0" borderId="0" xfId="0" applyFont="1" applyFill="1" applyAlignment="1">
      <alignment horizontal="left" vertical="center" wrapText="1"/>
    </xf>
    <xf numFmtId="0" fontId="15" fillId="0" borderId="0" xfId="0" applyFont="1" applyFill="1" applyAlignment="1">
      <alignment horizontal="left" vertical="center" wrapText="1"/>
    </xf>
    <xf numFmtId="0" fontId="15" fillId="0" borderId="0" xfId="0" applyFont="1" applyFill="1" applyAlignment="1">
      <alignment horizontal="left" vertical="center"/>
    </xf>
    <xf numFmtId="0" fontId="46" fillId="0" borderId="0" xfId="0" applyFont="1" applyFill="1" applyBorder="1" applyAlignment="1">
      <alignment horizontal="left" wrapText="1"/>
    </xf>
    <xf numFmtId="0" fontId="68" fillId="0" borderId="0" xfId="0" applyFont="1" applyFill="1" applyBorder="1" applyAlignment="1">
      <alignment horizontal="left" wrapText="1"/>
    </xf>
    <xf numFmtId="0" fontId="66" fillId="0" borderId="0" xfId="0" applyFont="1" applyFill="1" applyBorder="1" applyAlignment="1">
      <alignment horizontal="left" wrapText="1"/>
    </xf>
    <xf numFmtId="0" fontId="20" fillId="0" borderId="0" xfId="0" applyFont="1" applyFill="1" applyBorder="1" applyAlignment="1">
      <alignment horizontal="center"/>
    </xf>
    <xf numFmtId="0" fontId="47" fillId="0" borderId="0" xfId="0" applyFont="1" applyBorder="1" applyAlignment="1">
      <alignment wrapText="1"/>
    </xf>
    <xf numFmtId="0" fontId="46" fillId="0" borderId="0" xfId="0" applyFont="1" applyBorder="1" applyAlignment="1">
      <alignment horizontal="left" wrapText="1"/>
    </xf>
    <xf numFmtId="0" fontId="66" fillId="0" borderId="0" xfId="0" applyFont="1" applyBorder="1" applyAlignment="1">
      <alignment horizontal="left" wrapText="1"/>
    </xf>
    <xf numFmtId="0" fontId="47" fillId="0" borderId="0" xfId="0" applyFont="1" applyBorder="1" applyAlignment="1">
      <alignment horizontal="center" wrapText="1"/>
    </xf>
    <xf numFmtId="0" fontId="46" fillId="4" borderId="0" xfId="0" applyFont="1" applyFill="1" applyBorder="1" applyAlignment="1">
      <alignment horizontal="left" wrapText="1"/>
    </xf>
    <xf numFmtId="0" fontId="66" fillId="0" borderId="0" xfId="0" applyFont="1" applyBorder="1" applyAlignment="1">
      <alignment horizontal="center" wrapText="1"/>
    </xf>
    <xf numFmtId="0" fontId="47" fillId="0" borderId="0" xfId="0" applyFont="1" applyBorder="1" applyAlignment="1">
      <alignment horizontal="left"/>
    </xf>
    <xf numFmtId="0" fontId="47" fillId="0" borderId="0" xfId="0" applyFont="1" applyBorder="1" applyAlignment="1">
      <alignment horizontal="center"/>
    </xf>
    <xf numFmtId="0" fontId="21" fillId="0" borderId="0" xfId="0" applyFont="1" applyBorder="1" applyAlignment="1">
      <alignment horizontal="center"/>
    </xf>
    <xf numFmtId="0" fontId="47" fillId="0" borderId="0" xfId="0" applyFont="1" applyBorder="1" applyAlignment="1">
      <alignment horizontal="left" wrapText="1"/>
    </xf>
    <xf numFmtId="0" fontId="68" fillId="0" borderId="0" xfId="0" applyFont="1" applyFill="1" applyBorder="1" applyAlignment="1">
      <alignment horizontal="left" vertical="top" wrapText="1"/>
    </xf>
    <xf numFmtId="0" fontId="45" fillId="0" borderId="0" xfId="0" applyFont="1" applyFill="1" applyAlignment="1">
      <alignment horizontal="center"/>
    </xf>
    <xf numFmtId="0" fontId="47" fillId="0" borderId="0" xfId="0" applyFont="1" applyFill="1" applyBorder="1" applyAlignment="1">
      <alignment horizontal="left"/>
    </xf>
    <xf numFmtId="0" fontId="21" fillId="0" borderId="0" xfId="0" applyFont="1" applyFill="1" applyBorder="1" applyAlignment="1">
      <alignment horizontal="center"/>
    </xf>
    <xf numFmtId="0" fontId="45" fillId="0" borderId="0" xfId="0" applyFont="1" applyFill="1" applyBorder="1" applyAlignment="1">
      <alignment horizontal="center"/>
    </xf>
    <xf numFmtId="0" fontId="45" fillId="0" borderId="0" xfId="0" applyFont="1" applyBorder="1" applyAlignment="1">
      <alignment horizontal="center"/>
    </xf>
    <xf numFmtId="0" fontId="65" fillId="0" borderId="0" xfId="0" applyFont="1" applyBorder="1" applyAlignment="1">
      <alignment horizontal="left" vertical="center" wrapText="1"/>
    </xf>
    <xf numFmtId="0" fontId="21" fillId="0" borderId="0" xfId="0" applyFont="1" applyBorder="1" applyAlignment="1">
      <alignment horizontal="center" wrapText="1"/>
    </xf>
    <xf numFmtId="0" fontId="22" fillId="0" borderId="0" xfId="0" applyFont="1" applyAlignment="1">
      <alignment horizontal="center" vertical="center"/>
    </xf>
    <xf numFmtId="0" fontId="68" fillId="0" borderId="0" xfId="0" applyFont="1" applyFill="1" applyBorder="1" applyAlignment="1">
      <alignment vertical="top" wrapText="1"/>
    </xf>
    <xf numFmtId="0" fontId="61" fillId="0" borderId="0" xfId="0" applyFont="1" applyFill="1" applyBorder="1" applyAlignment="1">
      <alignment horizontal="center" vertical="top" wrapText="1"/>
    </xf>
    <xf numFmtId="0" fontId="67" fillId="0" borderId="0" xfId="0" applyFont="1" applyFill="1" applyBorder="1" applyAlignment="1">
      <alignment horizontal="center" wrapText="1"/>
    </xf>
    <xf numFmtId="0" fontId="59" fillId="0" borderId="0" xfId="0" applyFont="1" applyBorder="1" applyAlignment="1">
      <alignment horizontal="left" wrapText="1"/>
    </xf>
  </cellXfs>
  <cellStyles count="66">
    <cellStyle name="20% - Accent1 2" xfId="46"/>
    <cellStyle name="20% - Accent2 2" xfId="48"/>
    <cellStyle name="20% - Accent3 2" xfId="50"/>
    <cellStyle name="20% - Accent4 2" xfId="52"/>
    <cellStyle name="20% - Accent5 2" xfId="54"/>
    <cellStyle name="20% - Accent6 2" xfId="56"/>
    <cellStyle name="20% - Акцент1 2" xfId="21"/>
    <cellStyle name="20% - Акцент2 2" xfId="25"/>
    <cellStyle name="20% - Акцент3 2" xfId="29"/>
    <cellStyle name="20% - Акцент4 2" xfId="33"/>
    <cellStyle name="20% - Акцент5 2" xfId="37"/>
    <cellStyle name="20% - Акцент6 2" xfId="41"/>
    <cellStyle name="40% - Accent1 2" xfId="47"/>
    <cellStyle name="40% - Accent2 2" xfId="49"/>
    <cellStyle name="40% - Accent3 2" xfId="51"/>
    <cellStyle name="40% - Accent4 2" xfId="53"/>
    <cellStyle name="40% - Accent5 2" xfId="55"/>
    <cellStyle name="40% - Accent6 2" xfId="57"/>
    <cellStyle name="40% - Акцент1 2" xfId="22"/>
    <cellStyle name="40% - Акцент2 2" xfId="26"/>
    <cellStyle name="40% - Акцент3 2" xfId="30"/>
    <cellStyle name="40% - Акцент4 2" xfId="34"/>
    <cellStyle name="40% - Акцент5 2" xfId="38"/>
    <cellStyle name="40% - Акцент6 2" xfId="42"/>
    <cellStyle name="60% - Акцент1 2" xfId="23"/>
    <cellStyle name="60% - Акцент2 2" xfId="27"/>
    <cellStyle name="60% - Акцент3 2" xfId="31"/>
    <cellStyle name="60% - Акцент4 2" xfId="35"/>
    <cellStyle name="60% - Акцент5 2" xfId="39"/>
    <cellStyle name="60% - Акцент6 2" xfId="43"/>
    <cellStyle name="Comma" xfId="59" builtinId="3"/>
    <cellStyle name="Comma 15" xfId="58"/>
    <cellStyle name="Comma 2 6" xfId="60"/>
    <cellStyle name="Hyperlink" xfId="61" builtinId="8"/>
    <cellStyle name="Hyperlink 2" xfId="65"/>
    <cellStyle name="Normal" xfId="0" builtinId="0"/>
    <cellStyle name="Normal 2" xfId="62"/>
    <cellStyle name="Normal 2 6" xfId="63"/>
    <cellStyle name="Normal 3" xfId="1"/>
    <cellStyle name="Normal 4" xfId="64"/>
    <cellStyle name="Note" xfId="2" builtinId="10" customBuiltin="1"/>
    <cellStyle name="Note 2" xfId="45"/>
    <cellStyle name="SN_241" xfId="44"/>
    <cellStyle name="Акцент1 2" xfId="20"/>
    <cellStyle name="Акцент2 2" xfId="24"/>
    <cellStyle name="Акцент3 2" xfId="28"/>
    <cellStyle name="Акцент4 2" xfId="32"/>
    <cellStyle name="Акцент5 2" xfId="36"/>
    <cellStyle name="Акцент6 2" xfId="40"/>
    <cellStyle name="Ввод  2" xfId="12"/>
    <cellStyle name="Вывод 2" xfId="13"/>
    <cellStyle name="Вычисление 2" xfId="14"/>
    <cellStyle name="Заголовок 1 2" xfId="5"/>
    <cellStyle name="Заголовок 2 2" xfId="6"/>
    <cellStyle name="Заголовок 3 2" xfId="7"/>
    <cellStyle name="Заголовок 4 2" xfId="8"/>
    <cellStyle name="Итог 2" xfId="19"/>
    <cellStyle name="Контрольная ячейка 2" xfId="16"/>
    <cellStyle name="Название 2" xfId="4"/>
    <cellStyle name="Нейтральный 2" xfId="11"/>
    <cellStyle name="Обычный 2" xfId="3"/>
    <cellStyle name="Плохой 2" xfId="10"/>
    <cellStyle name="Пояснение 2" xfId="18"/>
    <cellStyle name="Связанная ячейка 2" xfId="15"/>
    <cellStyle name="Текст предупреждения 2" xfId="17"/>
    <cellStyle name="Хороший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checked="Checked"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checked="Checked"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checked="Checked"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checked="Checked"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checked="Checked"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checked="Checked"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checked="Checked"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checked="Checked"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checked="Checked"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checked="Checked"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checked="Checked"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checked="Checked"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checked="Checked"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checked="Checked"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checked="Checked" lockText="1" noThreeD="1"/>
</file>

<file path=xl/ctrlProps/ctrlProp171.xml><?xml version="1.0" encoding="utf-8"?>
<formControlPr xmlns="http://schemas.microsoft.com/office/spreadsheetml/2009/9/main" objectType="CheckBox" checked="Checked"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checked="Checked"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checked="Checked"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checked="Checked"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checked="Checked"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checked="Checked" lockText="1" noThreeD="1"/>
</file>

<file path=xl/ctrlProps/ctrlProp203.xml><?xml version="1.0" encoding="utf-8"?>
<formControlPr xmlns="http://schemas.microsoft.com/office/spreadsheetml/2009/9/main" objectType="CheckBox" checked="Checked"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checked="Checked" lockText="1" noThreeD="1"/>
</file>

<file path=xl/ctrlProps/ctrlProp206.xml><?xml version="1.0" encoding="utf-8"?>
<formControlPr xmlns="http://schemas.microsoft.com/office/spreadsheetml/2009/9/main" objectType="CheckBox" checked="Checked" lockText="1" noThreeD="1"/>
</file>

<file path=xl/ctrlProps/ctrlProp207.xml><?xml version="1.0" encoding="utf-8"?>
<formControlPr xmlns="http://schemas.microsoft.com/office/spreadsheetml/2009/9/main" objectType="CheckBox" checked="Checked"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checked="Checked"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checked="Checked"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checked="Checked"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checked="Checked" lockText="1" noThreeD="1"/>
</file>

<file path=xl/ctrlProps/ctrlProp235.xml><?xml version="1.0" encoding="utf-8"?>
<formControlPr xmlns="http://schemas.microsoft.com/office/spreadsheetml/2009/9/main" objectType="CheckBox" checked="Checked" lockText="1" noThreeD="1"/>
</file>

<file path=xl/ctrlProps/ctrlProp236.xml><?xml version="1.0" encoding="utf-8"?>
<formControlPr xmlns="http://schemas.microsoft.com/office/spreadsheetml/2009/9/main" objectType="CheckBox" checked="Checked"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checked="Checked" lockText="1" noThreeD="1"/>
</file>

<file path=xl/ctrlProps/ctrlProp239.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checked="Checked"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checked="Checked"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checked="Checked"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checked="Checked"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checked="Checked" lockText="1" noThreeD="1"/>
</file>

<file path=xl/ctrlProps/ctrlProp267.xml><?xml version="1.0" encoding="utf-8"?>
<formControlPr xmlns="http://schemas.microsoft.com/office/spreadsheetml/2009/9/main" objectType="CheckBox" checked="Checked" lockText="1" noThreeD="1"/>
</file>

<file path=xl/ctrlProps/ctrlProp268.xml><?xml version="1.0" encoding="utf-8"?>
<formControlPr xmlns="http://schemas.microsoft.com/office/spreadsheetml/2009/9/main" objectType="CheckBox" checked="Checked"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checked="Checked" lockText="1" noThreeD="1"/>
</file>

<file path=xl/ctrlProps/ctrlProp271.xml><?xml version="1.0" encoding="utf-8"?>
<formControlPr xmlns="http://schemas.microsoft.com/office/spreadsheetml/2009/9/main" objectType="CheckBox" checked="Checked"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checked="Checked"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checked="Checked"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checked="Checked"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checked="Checked"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checked="Checked"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checked="Checked"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checked="Checked"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checked="Checked" lockText="1" noThreeD="1"/>
</file>

<file path=xl/ctrlProps/ctrlProp302.xml><?xml version="1.0" encoding="utf-8"?>
<formControlPr xmlns="http://schemas.microsoft.com/office/spreadsheetml/2009/9/main" objectType="CheckBox" checked="Checked"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checked="Checked"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checked="Checked"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checked="Checked"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checked="Checked"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checked="Checked"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checked="Checked" lockText="1" noThreeD="1"/>
</file>

<file path=xl/ctrlProps/ctrlProp333.xml><?xml version="1.0" encoding="utf-8"?>
<formControlPr xmlns="http://schemas.microsoft.com/office/spreadsheetml/2009/9/main" objectType="CheckBox" checked="Checked"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checked="Checked"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checked="Checked"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checked="Checked"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checked="Checked"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checked="Checked"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checked="Checked" lockText="1" noThreeD="1"/>
</file>

<file path=xl/ctrlProps/ctrlProp361.xml><?xml version="1.0" encoding="utf-8"?>
<formControlPr xmlns="http://schemas.microsoft.com/office/spreadsheetml/2009/9/main" objectType="CheckBox" checked="Checked"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checked="Checked"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checked="Checked"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checked="Checked"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checked="Checked"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checked="Checked"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checked="Checked" lockText="1" noThreeD="1"/>
</file>

<file path=xl/ctrlProps/ctrlProp393.xml><?xml version="1.0" encoding="utf-8"?>
<formControlPr xmlns="http://schemas.microsoft.com/office/spreadsheetml/2009/9/main" objectType="CheckBox" checked="Checked"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checked="Checked" lockText="1" noThreeD="1"/>
</file>

<file path=xl/ctrlProps/ctrlProp396.xml><?xml version="1.0" encoding="utf-8"?>
<formControlPr xmlns="http://schemas.microsoft.com/office/spreadsheetml/2009/9/main" objectType="CheckBox" checked="Checked" lockText="1" noThreeD="1"/>
</file>

<file path=xl/ctrlProps/ctrlProp397.xml><?xml version="1.0" encoding="utf-8"?>
<formControlPr xmlns="http://schemas.microsoft.com/office/spreadsheetml/2009/9/main" objectType="CheckBox" checked="Checked"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checked="Checked"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checked="Checked"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checked="Checked"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checked="Checked"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checked="Checked"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checked="Checked"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checked="Checked" lockText="1" noThreeD="1"/>
</file>

<file path=xl/ctrlProps/ctrlProp425.xml><?xml version="1.0" encoding="utf-8"?>
<formControlPr xmlns="http://schemas.microsoft.com/office/spreadsheetml/2009/9/main" objectType="CheckBox" checked="Checked" lockText="1" noThreeD="1"/>
</file>

<file path=xl/ctrlProps/ctrlProp426.xml><?xml version="1.0" encoding="utf-8"?>
<formControlPr xmlns="http://schemas.microsoft.com/office/spreadsheetml/2009/9/main" objectType="CheckBox" checked="Checked"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checked="Checked" lockText="1" noThreeD="1"/>
</file>

<file path=xl/ctrlProps/ctrlProp429.xml><?xml version="1.0" encoding="utf-8"?>
<formControlPr xmlns="http://schemas.microsoft.com/office/spreadsheetml/2009/9/main" objectType="CheckBox" checked="Checked" lockText="1" noThreeD="1"/>
</file>

<file path=xl/ctrlProps/ctrlProp43.xml><?xml version="1.0" encoding="utf-8"?>
<formControlPr xmlns="http://schemas.microsoft.com/office/spreadsheetml/2009/9/main" objectType="CheckBox" checked="Checked"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checked="Checked"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checked="Checked"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checked="Checked" lockText="1" noThreeD="1"/>
</file>

<file path=xl/ctrlProps/ctrlProp440.xml><?xml version="1.0" encoding="utf-8"?>
<formControlPr xmlns="http://schemas.microsoft.com/office/spreadsheetml/2009/9/main" objectType="CheckBox" checked="Checked"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checked="Checked"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checked="Checked"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checked="Checked"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checked="Checked" lockText="1" noThreeD="1"/>
</file>

<file path=xl/ctrlProps/ctrlProp457.xml><?xml version="1.0" encoding="utf-8"?>
<formControlPr xmlns="http://schemas.microsoft.com/office/spreadsheetml/2009/9/main" objectType="CheckBox" checked="Checked" lockText="1" noThreeD="1"/>
</file>

<file path=xl/ctrlProps/ctrlProp458.xml><?xml version="1.0" encoding="utf-8"?>
<formControlPr xmlns="http://schemas.microsoft.com/office/spreadsheetml/2009/9/main" objectType="CheckBox" checked="Checked" lockText="1" noThreeD="1"/>
</file>

<file path=xl/ctrlProps/ctrlProp459.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checked="Checked"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checked="Checked"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checked="Checked"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checked="Checked"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checked="Checked"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checked="Checked" lockText="1" noThreeD="1"/>
</file>

<file path=xl/ctrlProps/ctrlProp488.xml><?xml version="1.0" encoding="utf-8"?>
<formControlPr xmlns="http://schemas.microsoft.com/office/spreadsheetml/2009/9/main" objectType="CheckBox" checked="Checked"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checked="Checked" lockText="1" noThreeD="1"/>
</file>

<file path=xl/ctrlProps/ctrlProp491.xml><?xml version="1.0" encoding="utf-8"?>
<formControlPr xmlns="http://schemas.microsoft.com/office/spreadsheetml/2009/9/main" objectType="CheckBox" checked="Checked" lockText="1" noThreeD="1"/>
</file>

<file path=xl/ctrlProps/ctrlProp492.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checked="Checked"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checked="Checked"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checked="Checked"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checked="Checked"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checked="Checked"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checked="Checked"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2</xdr:col>
          <xdr:colOff>3108960</xdr:colOff>
          <xdr:row>33</xdr:row>
          <xdr:rowOff>7620</xdr:rowOff>
        </xdr:to>
        <xdr:sp macro="" textlink="">
          <xdr:nvSpPr>
            <xdr:cNvPr id="113665" name="Check Box 1" hidden="1">
              <a:extLst>
                <a:ext uri="{63B3BB69-23CF-44E3-9099-C40C66FF867C}">
                  <a14:compatExt spid="_x0000_s113665"/>
                </a:ext>
                <a:ext uri="{FF2B5EF4-FFF2-40B4-BE49-F238E27FC236}">
                  <a16:creationId xmlns:a16="http://schemas.microsoft.com/office/drawing/2014/main" id="{00000000-0008-0000-02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3</xdr:col>
          <xdr:colOff>1021080</xdr:colOff>
          <xdr:row>34</xdr:row>
          <xdr:rowOff>160020</xdr:rowOff>
        </xdr:to>
        <xdr:sp macro="" textlink="">
          <xdr:nvSpPr>
            <xdr:cNvPr id="113666" name="Check Box 2" hidden="1">
              <a:extLst>
                <a:ext uri="{63B3BB69-23CF-44E3-9099-C40C66FF867C}">
                  <a14:compatExt spid="_x0000_s113666"/>
                </a:ext>
                <a:ext uri="{FF2B5EF4-FFF2-40B4-BE49-F238E27FC236}">
                  <a16:creationId xmlns:a16="http://schemas.microsoft.com/office/drawing/2014/main" id="{00000000-0008-0000-02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3</xdr:col>
          <xdr:colOff>1981200</xdr:colOff>
          <xdr:row>33</xdr:row>
          <xdr:rowOff>182880</xdr:rowOff>
        </xdr:to>
        <xdr:sp macro="" textlink="">
          <xdr:nvSpPr>
            <xdr:cNvPr id="113667" name="Check Box 3" hidden="1">
              <a:extLst>
                <a:ext uri="{63B3BB69-23CF-44E3-9099-C40C66FF867C}">
                  <a14:compatExt spid="_x0000_s113667"/>
                </a:ext>
                <a:ext uri="{FF2B5EF4-FFF2-40B4-BE49-F238E27FC236}">
                  <a16:creationId xmlns:a16="http://schemas.microsoft.com/office/drawing/2014/main" id="{00000000-0008-0000-0200-00000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30480</xdr:rowOff>
        </xdr:from>
        <xdr:to>
          <xdr:col>10</xdr:col>
          <xdr:colOff>22860</xdr:colOff>
          <xdr:row>36</xdr:row>
          <xdr:rowOff>160020</xdr:rowOff>
        </xdr:to>
        <xdr:sp macro="" textlink="">
          <xdr:nvSpPr>
            <xdr:cNvPr id="113668" name="Check Box 4" hidden="1">
              <a:extLst>
                <a:ext uri="{63B3BB69-23CF-44E3-9099-C40C66FF867C}">
                  <a14:compatExt spid="_x0000_s113668"/>
                </a:ext>
                <a:ext uri="{FF2B5EF4-FFF2-40B4-BE49-F238E27FC236}">
                  <a16:creationId xmlns:a16="http://schemas.microsoft.com/office/drawing/2014/main" id="{00000000-0008-0000-0200-00000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37</xdr:row>
          <xdr:rowOff>30480</xdr:rowOff>
        </xdr:from>
        <xdr:to>
          <xdr:col>10</xdr:col>
          <xdr:colOff>403860</xdr:colOff>
          <xdr:row>38</xdr:row>
          <xdr:rowOff>0</xdr:rowOff>
        </xdr:to>
        <xdr:sp macro="" textlink="">
          <xdr:nvSpPr>
            <xdr:cNvPr id="113669" name="Check Box 5" hidden="1">
              <a:extLst>
                <a:ext uri="{63B3BB69-23CF-44E3-9099-C40C66FF867C}">
                  <a14:compatExt spid="_x0000_s113669"/>
                </a:ext>
                <a:ext uri="{FF2B5EF4-FFF2-40B4-BE49-F238E27FC236}">
                  <a16:creationId xmlns:a16="http://schemas.microsoft.com/office/drawing/2014/main" id="{00000000-0008-0000-0200-00000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6</xdr:col>
          <xdr:colOff>1013460</xdr:colOff>
          <xdr:row>39</xdr:row>
          <xdr:rowOff>0</xdr:rowOff>
        </xdr:to>
        <xdr:sp macro="" textlink="">
          <xdr:nvSpPr>
            <xdr:cNvPr id="113670" name="Check Box 6" hidden="1">
              <a:extLst>
                <a:ext uri="{63B3BB69-23CF-44E3-9099-C40C66FF867C}">
                  <a14:compatExt spid="_x0000_s113670"/>
                </a:ext>
                <a:ext uri="{FF2B5EF4-FFF2-40B4-BE49-F238E27FC236}">
                  <a16:creationId xmlns:a16="http://schemas.microsoft.com/office/drawing/2014/main" id="{00000000-0008-0000-0200-00000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11</xdr:row>
          <xdr:rowOff>251460</xdr:rowOff>
        </xdr:to>
        <xdr:sp macro="" textlink="">
          <xdr:nvSpPr>
            <xdr:cNvPr id="113671" name="Check Box 7" hidden="1">
              <a:extLst>
                <a:ext uri="{63B3BB69-23CF-44E3-9099-C40C66FF867C}">
                  <a14:compatExt spid="_x0000_s113671"/>
                </a:ext>
                <a:ext uri="{FF2B5EF4-FFF2-40B4-BE49-F238E27FC236}">
                  <a16:creationId xmlns:a16="http://schemas.microsoft.com/office/drawing/2014/main" id="{00000000-0008-0000-0200-00000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2</xdr:col>
          <xdr:colOff>3108960</xdr:colOff>
          <xdr:row>33</xdr:row>
          <xdr:rowOff>7620</xdr:rowOff>
        </xdr:to>
        <xdr:sp macro="" textlink="">
          <xdr:nvSpPr>
            <xdr:cNvPr id="113672" name="Check Box 8" hidden="1">
              <a:extLst>
                <a:ext uri="{63B3BB69-23CF-44E3-9099-C40C66FF867C}">
                  <a14:compatExt spid="_x0000_s113672"/>
                </a:ext>
                <a:ext uri="{FF2B5EF4-FFF2-40B4-BE49-F238E27FC236}">
                  <a16:creationId xmlns:a16="http://schemas.microsoft.com/office/drawing/2014/main" id="{00000000-0008-0000-0200-00000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3</xdr:col>
          <xdr:colOff>1021080</xdr:colOff>
          <xdr:row>34</xdr:row>
          <xdr:rowOff>160020</xdr:rowOff>
        </xdr:to>
        <xdr:sp macro="" textlink="">
          <xdr:nvSpPr>
            <xdr:cNvPr id="113673" name="Check Box 9" hidden="1">
              <a:extLst>
                <a:ext uri="{63B3BB69-23CF-44E3-9099-C40C66FF867C}">
                  <a14:compatExt spid="_x0000_s113673"/>
                </a:ext>
                <a:ext uri="{FF2B5EF4-FFF2-40B4-BE49-F238E27FC236}">
                  <a16:creationId xmlns:a16="http://schemas.microsoft.com/office/drawing/2014/main" id="{00000000-0008-0000-0200-00000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3</xdr:col>
          <xdr:colOff>1981200</xdr:colOff>
          <xdr:row>33</xdr:row>
          <xdr:rowOff>182880</xdr:rowOff>
        </xdr:to>
        <xdr:sp macro="" textlink="">
          <xdr:nvSpPr>
            <xdr:cNvPr id="113674" name="Check Box 10" hidden="1">
              <a:extLst>
                <a:ext uri="{63B3BB69-23CF-44E3-9099-C40C66FF867C}">
                  <a14:compatExt spid="_x0000_s113674"/>
                </a:ext>
                <a:ext uri="{FF2B5EF4-FFF2-40B4-BE49-F238E27FC236}">
                  <a16:creationId xmlns:a16="http://schemas.microsoft.com/office/drawing/2014/main" id="{00000000-0008-0000-0200-00000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6</xdr:col>
          <xdr:colOff>1013460</xdr:colOff>
          <xdr:row>39</xdr:row>
          <xdr:rowOff>0</xdr:rowOff>
        </xdr:to>
        <xdr:sp macro="" textlink="">
          <xdr:nvSpPr>
            <xdr:cNvPr id="113675" name="Check Box 11" hidden="1">
              <a:extLst>
                <a:ext uri="{63B3BB69-23CF-44E3-9099-C40C66FF867C}">
                  <a14:compatExt spid="_x0000_s113675"/>
                </a:ext>
                <a:ext uri="{FF2B5EF4-FFF2-40B4-BE49-F238E27FC236}">
                  <a16:creationId xmlns:a16="http://schemas.microsoft.com/office/drawing/2014/main" id="{00000000-0008-0000-0200-00000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11</xdr:row>
          <xdr:rowOff>251460</xdr:rowOff>
        </xdr:to>
        <xdr:sp macro="" textlink="">
          <xdr:nvSpPr>
            <xdr:cNvPr id="113676" name="Check Box 12" hidden="1">
              <a:extLst>
                <a:ext uri="{63B3BB69-23CF-44E3-9099-C40C66FF867C}">
                  <a14:compatExt spid="_x0000_s113676"/>
                </a:ext>
                <a:ext uri="{FF2B5EF4-FFF2-40B4-BE49-F238E27FC236}">
                  <a16:creationId xmlns:a16="http://schemas.microsoft.com/office/drawing/2014/main" id="{00000000-0008-0000-0200-00000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2</xdr:col>
          <xdr:colOff>3108960</xdr:colOff>
          <xdr:row>33</xdr:row>
          <xdr:rowOff>7620</xdr:rowOff>
        </xdr:to>
        <xdr:sp macro="" textlink="">
          <xdr:nvSpPr>
            <xdr:cNvPr id="113677" name="Check Box 13" hidden="1">
              <a:extLst>
                <a:ext uri="{63B3BB69-23CF-44E3-9099-C40C66FF867C}">
                  <a14:compatExt spid="_x0000_s113677"/>
                </a:ext>
                <a:ext uri="{FF2B5EF4-FFF2-40B4-BE49-F238E27FC236}">
                  <a16:creationId xmlns:a16="http://schemas.microsoft.com/office/drawing/2014/main" id="{00000000-0008-0000-0200-00000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3</xdr:col>
          <xdr:colOff>1021080</xdr:colOff>
          <xdr:row>34</xdr:row>
          <xdr:rowOff>160020</xdr:rowOff>
        </xdr:to>
        <xdr:sp macro="" textlink="">
          <xdr:nvSpPr>
            <xdr:cNvPr id="113678" name="Check Box 14" hidden="1">
              <a:extLst>
                <a:ext uri="{63B3BB69-23CF-44E3-9099-C40C66FF867C}">
                  <a14:compatExt spid="_x0000_s113678"/>
                </a:ext>
                <a:ext uri="{FF2B5EF4-FFF2-40B4-BE49-F238E27FC236}">
                  <a16:creationId xmlns:a16="http://schemas.microsoft.com/office/drawing/2014/main" id="{00000000-0008-0000-0200-00000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3</xdr:col>
          <xdr:colOff>1981200</xdr:colOff>
          <xdr:row>33</xdr:row>
          <xdr:rowOff>182880</xdr:rowOff>
        </xdr:to>
        <xdr:sp macro="" textlink="">
          <xdr:nvSpPr>
            <xdr:cNvPr id="113679" name="Check Box 15" hidden="1">
              <a:extLst>
                <a:ext uri="{63B3BB69-23CF-44E3-9099-C40C66FF867C}">
                  <a14:compatExt spid="_x0000_s113679"/>
                </a:ext>
                <a:ext uri="{FF2B5EF4-FFF2-40B4-BE49-F238E27FC236}">
                  <a16:creationId xmlns:a16="http://schemas.microsoft.com/office/drawing/2014/main" id="{00000000-0008-0000-0200-00000F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30480</xdr:rowOff>
        </xdr:from>
        <xdr:to>
          <xdr:col>10</xdr:col>
          <xdr:colOff>22860</xdr:colOff>
          <xdr:row>36</xdr:row>
          <xdr:rowOff>160020</xdr:rowOff>
        </xdr:to>
        <xdr:sp macro="" textlink="">
          <xdr:nvSpPr>
            <xdr:cNvPr id="113680" name="Check Box 16" hidden="1">
              <a:extLst>
                <a:ext uri="{63B3BB69-23CF-44E3-9099-C40C66FF867C}">
                  <a14:compatExt spid="_x0000_s113680"/>
                </a:ext>
                <a:ext uri="{FF2B5EF4-FFF2-40B4-BE49-F238E27FC236}">
                  <a16:creationId xmlns:a16="http://schemas.microsoft.com/office/drawing/2014/main" id="{00000000-0008-0000-0200-00001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37</xdr:row>
          <xdr:rowOff>30480</xdr:rowOff>
        </xdr:from>
        <xdr:to>
          <xdr:col>10</xdr:col>
          <xdr:colOff>403860</xdr:colOff>
          <xdr:row>38</xdr:row>
          <xdr:rowOff>0</xdr:rowOff>
        </xdr:to>
        <xdr:sp macro="" textlink="">
          <xdr:nvSpPr>
            <xdr:cNvPr id="113681" name="Check Box 17" hidden="1">
              <a:extLst>
                <a:ext uri="{63B3BB69-23CF-44E3-9099-C40C66FF867C}">
                  <a14:compatExt spid="_x0000_s113681"/>
                </a:ext>
                <a:ext uri="{FF2B5EF4-FFF2-40B4-BE49-F238E27FC236}">
                  <a16:creationId xmlns:a16="http://schemas.microsoft.com/office/drawing/2014/main" id="{00000000-0008-0000-0200-00001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6</xdr:col>
          <xdr:colOff>1013460</xdr:colOff>
          <xdr:row>39</xdr:row>
          <xdr:rowOff>0</xdr:rowOff>
        </xdr:to>
        <xdr:sp macro="" textlink="">
          <xdr:nvSpPr>
            <xdr:cNvPr id="113682" name="Check Box 18" hidden="1">
              <a:extLst>
                <a:ext uri="{63B3BB69-23CF-44E3-9099-C40C66FF867C}">
                  <a14:compatExt spid="_x0000_s113682"/>
                </a:ext>
                <a:ext uri="{FF2B5EF4-FFF2-40B4-BE49-F238E27FC236}">
                  <a16:creationId xmlns:a16="http://schemas.microsoft.com/office/drawing/2014/main" id="{00000000-0008-0000-0200-00001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11</xdr:row>
          <xdr:rowOff>251460</xdr:rowOff>
        </xdr:to>
        <xdr:sp macro="" textlink="">
          <xdr:nvSpPr>
            <xdr:cNvPr id="113683" name="Check Box 19" hidden="1">
              <a:extLst>
                <a:ext uri="{63B3BB69-23CF-44E3-9099-C40C66FF867C}">
                  <a14:compatExt spid="_x0000_s113683"/>
                </a:ext>
                <a:ext uri="{FF2B5EF4-FFF2-40B4-BE49-F238E27FC236}">
                  <a16:creationId xmlns:a16="http://schemas.microsoft.com/office/drawing/2014/main" id="{00000000-0008-0000-0200-00001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2</xdr:col>
          <xdr:colOff>3108960</xdr:colOff>
          <xdr:row>33</xdr:row>
          <xdr:rowOff>7620</xdr:rowOff>
        </xdr:to>
        <xdr:sp macro="" textlink="">
          <xdr:nvSpPr>
            <xdr:cNvPr id="113684" name="Check Box 20" hidden="1">
              <a:extLst>
                <a:ext uri="{63B3BB69-23CF-44E3-9099-C40C66FF867C}">
                  <a14:compatExt spid="_x0000_s113684"/>
                </a:ext>
                <a:ext uri="{FF2B5EF4-FFF2-40B4-BE49-F238E27FC236}">
                  <a16:creationId xmlns:a16="http://schemas.microsoft.com/office/drawing/2014/main" id="{00000000-0008-0000-0200-00001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3</xdr:col>
          <xdr:colOff>1021080</xdr:colOff>
          <xdr:row>34</xdr:row>
          <xdr:rowOff>160020</xdr:rowOff>
        </xdr:to>
        <xdr:sp macro="" textlink="">
          <xdr:nvSpPr>
            <xdr:cNvPr id="113685" name="Check Box 21" hidden="1">
              <a:extLst>
                <a:ext uri="{63B3BB69-23CF-44E3-9099-C40C66FF867C}">
                  <a14:compatExt spid="_x0000_s113685"/>
                </a:ext>
                <a:ext uri="{FF2B5EF4-FFF2-40B4-BE49-F238E27FC236}">
                  <a16:creationId xmlns:a16="http://schemas.microsoft.com/office/drawing/2014/main" id="{00000000-0008-0000-0200-00001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3</xdr:col>
          <xdr:colOff>1981200</xdr:colOff>
          <xdr:row>33</xdr:row>
          <xdr:rowOff>182880</xdr:rowOff>
        </xdr:to>
        <xdr:sp macro="" textlink="">
          <xdr:nvSpPr>
            <xdr:cNvPr id="113686" name="Check Box 22" hidden="1">
              <a:extLst>
                <a:ext uri="{63B3BB69-23CF-44E3-9099-C40C66FF867C}">
                  <a14:compatExt spid="_x0000_s113686"/>
                </a:ext>
                <a:ext uri="{FF2B5EF4-FFF2-40B4-BE49-F238E27FC236}">
                  <a16:creationId xmlns:a16="http://schemas.microsoft.com/office/drawing/2014/main" id="{00000000-0008-0000-0200-00001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6</xdr:col>
          <xdr:colOff>1013460</xdr:colOff>
          <xdr:row>39</xdr:row>
          <xdr:rowOff>0</xdr:rowOff>
        </xdr:to>
        <xdr:sp macro="" textlink="">
          <xdr:nvSpPr>
            <xdr:cNvPr id="113687" name="Check Box 23" hidden="1">
              <a:extLst>
                <a:ext uri="{63B3BB69-23CF-44E3-9099-C40C66FF867C}">
                  <a14:compatExt spid="_x0000_s113687"/>
                </a:ext>
                <a:ext uri="{FF2B5EF4-FFF2-40B4-BE49-F238E27FC236}">
                  <a16:creationId xmlns:a16="http://schemas.microsoft.com/office/drawing/2014/main" id="{00000000-0008-0000-0200-00001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11</xdr:row>
          <xdr:rowOff>251460</xdr:rowOff>
        </xdr:to>
        <xdr:sp macro="" textlink="">
          <xdr:nvSpPr>
            <xdr:cNvPr id="113688" name="Check Box 24" hidden="1">
              <a:extLst>
                <a:ext uri="{63B3BB69-23CF-44E3-9099-C40C66FF867C}">
                  <a14:compatExt spid="_x0000_s113688"/>
                </a:ext>
                <a:ext uri="{FF2B5EF4-FFF2-40B4-BE49-F238E27FC236}">
                  <a16:creationId xmlns:a16="http://schemas.microsoft.com/office/drawing/2014/main" id="{00000000-0008-0000-0200-00001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2</xdr:col>
          <xdr:colOff>3108960</xdr:colOff>
          <xdr:row>33</xdr:row>
          <xdr:rowOff>7620</xdr:rowOff>
        </xdr:to>
        <xdr:sp macro="" textlink="">
          <xdr:nvSpPr>
            <xdr:cNvPr id="113689" name="Check Box 25" hidden="1">
              <a:extLst>
                <a:ext uri="{63B3BB69-23CF-44E3-9099-C40C66FF867C}">
                  <a14:compatExt spid="_x0000_s113689"/>
                </a:ext>
                <a:ext uri="{FF2B5EF4-FFF2-40B4-BE49-F238E27FC236}">
                  <a16:creationId xmlns:a16="http://schemas.microsoft.com/office/drawing/2014/main" id="{00000000-0008-0000-02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3</xdr:col>
          <xdr:colOff>1021080</xdr:colOff>
          <xdr:row>34</xdr:row>
          <xdr:rowOff>160020</xdr:rowOff>
        </xdr:to>
        <xdr:sp macro="" textlink="">
          <xdr:nvSpPr>
            <xdr:cNvPr id="113690" name="Check Box 26" hidden="1">
              <a:extLst>
                <a:ext uri="{63B3BB69-23CF-44E3-9099-C40C66FF867C}">
                  <a14:compatExt spid="_x0000_s113690"/>
                </a:ext>
                <a:ext uri="{FF2B5EF4-FFF2-40B4-BE49-F238E27FC236}">
                  <a16:creationId xmlns:a16="http://schemas.microsoft.com/office/drawing/2014/main" id="{00000000-0008-0000-02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3</xdr:col>
          <xdr:colOff>1935480</xdr:colOff>
          <xdr:row>33</xdr:row>
          <xdr:rowOff>182880</xdr:rowOff>
        </xdr:to>
        <xdr:sp macro="" textlink="">
          <xdr:nvSpPr>
            <xdr:cNvPr id="113691" name="Check Box 27" hidden="1">
              <a:extLst>
                <a:ext uri="{63B3BB69-23CF-44E3-9099-C40C66FF867C}">
                  <a14:compatExt spid="_x0000_s113691"/>
                </a:ext>
                <a:ext uri="{FF2B5EF4-FFF2-40B4-BE49-F238E27FC236}">
                  <a16:creationId xmlns:a16="http://schemas.microsoft.com/office/drawing/2014/main" id="{00000000-0008-0000-0200-00000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30480</xdr:rowOff>
        </xdr:from>
        <xdr:to>
          <xdr:col>10</xdr:col>
          <xdr:colOff>30480</xdr:colOff>
          <xdr:row>36</xdr:row>
          <xdr:rowOff>160020</xdr:rowOff>
        </xdr:to>
        <xdr:sp macro="" textlink="">
          <xdr:nvSpPr>
            <xdr:cNvPr id="113692" name="Check Box 28" hidden="1">
              <a:extLst>
                <a:ext uri="{63B3BB69-23CF-44E3-9099-C40C66FF867C}">
                  <a14:compatExt spid="_x0000_s113692"/>
                </a:ext>
                <a:ext uri="{FF2B5EF4-FFF2-40B4-BE49-F238E27FC236}">
                  <a16:creationId xmlns:a16="http://schemas.microsoft.com/office/drawing/2014/main" id="{00000000-0008-0000-0200-00000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37</xdr:row>
          <xdr:rowOff>30480</xdr:rowOff>
        </xdr:from>
        <xdr:to>
          <xdr:col>10</xdr:col>
          <xdr:colOff>403860</xdr:colOff>
          <xdr:row>38</xdr:row>
          <xdr:rowOff>0</xdr:rowOff>
        </xdr:to>
        <xdr:sp macro="" textlink="">
          <xdr:nvSpPr>
            <xdr:cNvPr id="113693" name="Check Box 29" hidden="1">
              <a:extLst>
                <a:ext uri="{63B3BB69-23CF-44E3-9099-C40C66FF867C}">
                  <a14:compatExt spid="_x0000_s113693"/>
                </a:ext>
                <a:ext uri="{FF2B5EF4-FFF2-40B4-BE49-F238E27FC236}">
                  <a16:creationId xmlns:a16="http://schemas.microsoft.com/office/drawing/2014/main" id="{00000000-0008-0000-0200-00000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6</xdr:col>
          <xdr:colOff>998220</xdr:colOff>
          <xdr:row>39</xdr:row>
          <xdr:rowOff>0</xdr:rowOff>
        </xdr:to>
        <xdr:sp macro="" textlink="">
          <xdr:nvSpPr>
            <xdr:cNvPr id="113694" name="Check Box 30" hidden="1">
              <a:extLst>
                <a:ext uri="{63B3BB69-23CF-44E3-9099-C40C66FF867C}">
                  <a14:compatExt spid="_x0000_s113694"/>
                </a:ext>
                <a:ext uri="{FF2B5EF4-FFF2-40B4-BE49-F238E27FC236}">
                  <a16:creationId xmlns:a16="http://schemas.microsoft.com/office/drawing/2014/main" id="{00000000-0008-0000-0200-00000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11</xdr:row>
          <xdr:rowOff>251460</xdr:rowOff>
        </xdr:to>
        <xdr:sp macro="" textlink="">
          <xdr:nvSpPr>
            <xdr:cNvPr id="113695" name="Check Box 31" hidden="1">
              <a:extLst>
                <a:ext uri="{63B3BB69-23CF-44E3-9099-C40C66FF867C}">
                  <a14:compatExt spid="_x0000_s113695"/>
                </a:ext>
                <a:ext uri="{FF2B5EF4-FFF2-40B4-BE49-F238E27FC236}">
                  <a16:creationId xmlns:a16="http://schemas.microsoft.com/office/drawing/2014/main" id="{00000000-0008-0000-0200-00000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2</xdr:col>
          <xdr:colOff>3108960</xdr:colOff>
          <xdr:row>33</xdr:row>
          <xdr:rowOff>7620</xdr:rowOff>
        </xdr:to>
        <xdr:sp macro="" textlink="">
          <xdr:nvSpPr>
            <xdr:cNvPr id="113696" name="Check Box 32" hidden="1">
              <a:extLst>
                <a:ext uri="{63B3BB69-23CF-44E3-9099-C40C66FF867C}">
                  <a14:compatExt spid="_x0000_s113696"/>
                </a:ext>
                <a:ext uri="{FF2B5EF4-FFF2-40B4-BE49-F238E27FC236}">
                  <a16:creationId xmlns:a16="http://schemas.microsoft.com/office/drawing/2014/main" id="{00000000-0008-0000-0200-00000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3</xdr:col>
          <xdr:colOff>1021080</xdr:colOff>
          <xdr:row>34</xdr:row>
          <xdr:rowOff>160020</xdr:rowOff>
        </xdr:to>
        <xdr:sp macro="" textlink="">
          <xdr:nvSpPr>
            <xdr:cNvPr id="113697" name="Check Box 33" hidden="1">
              <a:extLst>
                <a:ext uri="{63B3BB69-23CF-44E3-9099-C40C66FF867C}">
                  <a14:compatExt spid="_x0000_s113697"/>
                </a:ext>
                <a:ext uri="{FF2B5EF4-FFF2-40B4-BE49-F238E27FC236}">
                  <a16:creationId xmlns:a16="http://schemas.microsoft.com/office/drawing/2014/main" id="{00000000-0008-0000-0200-00000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3</xdr:col>
          <xdr:colOff>1935480</xdr:colOff>
          <xdr:row>33</xdr:row>
          <xdr:rowOff>182880</xdr:rowOff>
        </xdr:to>
        <xdr:sp macro="" textlink="">
          <xdr:nvSpPr>
            <xdr:cNvPr id="113698" name="Check Box 34" hidden="1">
              <a:extLst>
                <a:ext uri="{63B3BB69-23CF-44E3-9099-C40C66FF867C}">
                  <a14:compatExt spid="_x0000_s113698"/>
                </a:ext>
                <a:ext uri="{FF2B5EF4-FFF2-40B4-BE49-F238E27FC236}">
                  <a16:creationId xmlns:a16="http://schemas.microsoft.com/office/drawing/2014/main" id="{00000000-0008-0000-0200-00000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6</xdr:col>
          <xdr:colOff>998220</xdr:colOff>
          <xdr:row>39</xdr:row>
          <xdr:rowOff>0</xdr:rowOff>
        </xdr:to>
        <xdr:sp macro="" textlink="">
          <xdr:nvSpPr>
            <xdr:cNvPr id="113699" name="Check Box 35" hidden="1">
              <a:extLst>
                <a:ext uri="{63B3BB69-23CF-44E3-9099-C40C66FF867C}">
                  <a14:compatExt spid="_x0000_s113699"/>
                </a:ext>
                <a:ext uri="{FF2B5EF4-FFF2-40B4-BE49-F238E27FC236}">
                  <a16:creationId xmlns:a16="http://schemas.microsoft.com/office/drawing/2014/main" id="{00000000-0008-0000-0200-00000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11</xdr:row>
          <xdr:rowOff>251460</xdr:rowOff>
        </xdr:to>
        <xdr:sp macro="" textlink="">
          <xdr:nvSpPr>
            <xdr:cNvPr id="113700" name="Check Box 36" hidden="1">
              <a:extLst>
                <a:ext uri="{63B3BB69-23CF-44E3-9099-C40C66FF867C}">
                  <a14:compatExt spid="_x0000_s113700"/>
                </a:ext>
                <a:ext uri="{FF2B5EF4-FFF2-40B4-BE49-F238E27FC236}">
                  <a16:creationId xmlns:a16="http://schemas.microsoft.com/office/drawing/2014/main" id="{00000000-0008-0000-0200-00000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2</xdr:col>
          <xdr:colOff>3108960</xdr:colOff>
          <xdr:row>33</xdr:row>
          <xdr:rowOff>7620</xdr:rowOff>
        </xdr:to>
        <xdr:sp macro="" textlink="">
          <xdr:nvSpPr>
            <xdr:cNvPr id="113701" name="Check Box 37" hidden="1">
              <a:extLst>
                <a:ext uri="{63B3BB69-23CF-44E3-9099-C40C66FF867C}">
                  <a14:compatExt spid="_x0000_s113701"/>
                </a:ext>
                <a:ext uri="{FF2B5EF4-FFF2-40B4-BE49-F238E27FC236}">
                  <a16:creationId xmlns:a16="http://schemas.microsoft.com/office/drawing/2014/main" id="{00000000-0008-0000-0200-00000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3</xdr:col>
          <xdr:colOff>1021080</xdr:colOff>
          <xdr:row>34</xdr:row>
          <xdr:rowOff>160020</xdr:rowOff>
        </xdr:to>
        <xdr:sp macro="" textlink="">
          <xdr:nvSpPr>
            <xdr:cNvPr id="113702" name="Check Box 38" hidden="1">
              <a:extLst>
                <a:ext uri="{63B3BB69-23CF-44E3-9099-C40C66FF867C}">
                  <a14:compatExt spid="_x0000_s113702"/>
                </a:ext>
                <a:ext uri="{FF2B5EF4-FFF2-40B4-BE49-F238E27FC236}">
                  <a16:creationId xmlns:a16="http://schemas.microsoft.com/office/drawing/2014/main" id="{00000000-0008-0000-0200-00000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3</xdr:col>
          <xdr:colOff>1935480</xdr:colOff>
          <xdr:row>33</xdr:row>
          <xdr:rowOff>182880</xdr:rowOff>
        </xdr:to>
        <xdr:sp macro="" textlink="">
          <xdr:nvSpPr>
            <xdr:cNvPr id="113703" name="Check Box 39" hidden="1">
              <a:extLst>
                <a:ext uri="{63B3BB69-23CF-44E3-9099-C40C66FF867C}">
                  <a14:compatExt spid="_x0000_s113703"/>
                </a:ext>
                <a:ext uri="{FF2B5EF4-FFF2-40B4-BE49-F238E27FC236}">
                  <a16:creationId xmlns:a16="http://schemas.microsoft.com/office/drawing/2014/main" id="{00000000-0008-0000-0200-00000F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30480</xdr:rowOff>
        </xdr:from>
        <xdr:to>
          <xdr:col>10</xdr:col>
          <xdr:colOff>30480</xdr:colOff>
          <xdr:row>36</xdr:row>
          <xdr:rowOff>160020</xdr:rowOff>
        </xdr:to>
        <xdr:sp macro="" textlink="">
          <xdr:nvSpPr>
            <xdr:cNvPr id="113704" name="Check Box 40" hidden="1">
              <a:extLst>
                <a:ext uri="{63B3BB69-23CF-44E3-9099-C40C66FF867C}">
                  <a14:compatExt spid="_x0000_s113704"/>
                </a:ext>
                <a:ext uri="{FF2B5EF4-FFF2-40B4-BE49-F238E27FC236}">
                  <a16:creationId xmlns:a16="http://schemas.microsoft.com/office/drawing/2014/main" id="{00000000-0008-0000-0200-00001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37</xdr:row>
          <xdr:rowOff>30480</xdr:rowOff>
        </xdr:from>
        <xdr:to>
          <xdr:col>10</xdr:col>
          <xdr:colOff>403860</xdr:colOff>
          <xdr:row>38</xdr:row>
          <xdr:rowOff>0</xdr:rowOff>
        </xdr:to>
        <xdr:sp macro="" textlink="">
          <xdr:nvSpPr>
            <xdr:cNvPr id="113705" name="Check Box 41" hidden="1">
              <a:extLst>
                <a:ext uri="{63B3BB69-23CF-44E3-9099-C40C66FF867C}">
                  <a14:compatExt spid="_x0000_s113705"/>
                </a:ext>
                <a:ext uri="{FF2B5EF4-FFF2-40B4-BE49-F238E27FC236}">
                  <a16:creationId xmlns:a16="http://schemas.microsoft.com/office/drawing/2014/main" id="{00000000-0008-0000-0200-00001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6</xdr:col>
          <xdr:colOff>998220</xdr:colOff>
          <xdr:row>39</xdr:row>
          <xdr:rowOff>0</xdr:rowOff>
        </xdr:to>
        <xdr:sp macro="" textlink="">
          <xdr:nvSpPr>
            <xdr:cNvPr id="113706" name="Check Box 42" hidden="1">
              <a:extLst>
                <a:ext uri="{63B3BB69-23CF-44E3-9099-C40C66FF867C}">
                  <a14:compatExt spid="_x0000_s113706"/>
                </a:ext>
                <a:ext uri="{FF2B5EF4-FFF2-40B4-BE49-F238E27FC236}">
                  <a16:creationId xmlns:a16="http://schemas.microsoft.com/office/drawing/2014/main" id="{00000000-0008-0000-0200-00001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11</xdr:row>
          <xdr:rowOff>251460</xdr:rowOff>
        </xdr:to>
        <xdr:sp macro="" textlink="">
          <xdr:nvSpPr>
            <xdr:cNvPr id="113707" name="Check Box 43" hidden="1">
              <a:extLst>
                <a:ext uri="{63B3BB69-23CF-44E3-9099-C40C66FF867C}">
                  <a14:compatExt spid="_x0000_s113707"/>
                </a:ext>
                <a:ext uri="{FF2B5EF4-FFF2-40B4-BE49-F238E27FC236}">
                  <a16:creationId xmlns:a16="http://schemas.microsoft.com/office/drawing/2014/main" id="{00000000-0008-0000-0200-00001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2</xdr:col>
          <xdr:colOff>3108960</xdr:colOff>
          <xdr:row>33</xdr:row>
          <xdr:rowOff>7620</xdr:rowOff>
        </xdr:to>
        <xdr:sp macro="" textlink="">
          <xdr:nvSpPr>
            <xdr:cNvPr id="113708" name="Check Box 44" hidden="1">
              <a:extLst>
                <a:ext uri="{63B3BB69-23CF-44E3-9099-C40C66FF867C}">
                  <a14:compatExt spid="_x0000_s113708"/>
                </a:ext>
                <a:ext uri="{FF2B5EF4-FFF2-40B4-BE49-F238E27FC236}">
                  <a16:creationId xmlns:a16="http://schemas.microsoft.com/office/drawing/2014/main" id="{00000000-0008-0000-0200-00001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3</xdr:col>
          <xdr:colOff>1021080</xdr:colOff>
          <xdr:row>34</xdr:row>
          <xdr:rowOff>160020</xdr:rowOff>
        </xdr:to>
        <xdr:sp macro="" textlink="">
          <xdr:nvSpPr>
            <xdr:cNvPr id="113709" name="Check Box 45" hidden="1">
              <a:extLst>
                <a:ext uri="{63B3BB69-23CF-44E3-9099-C40C66FF867C}">
                  <a14:compatExt spid="_x0000_s113709"/>
                </a:ext>
                <a:ext uri="{FF2B5EF4-FFF2-40B4-BE49-F238E27FC236}">
                  <a16:creationId xmlns:a16="http://schemas.microsoft.com/office/drawing/2014/main" id="{00000000-0008-0000-0200-00001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3</xdr:col>
          <xdr:colOff>1935480</xdr:colOff>
          <xdr:row>33</xdr:row>
          <xdr:rowOff>182880</xdr:rowOff>
        </xdr:to>
        <xdr:sp macro="" textlink="">
          <xdr:nvSpPr>
            <xdr:cNvPr id="113710" name="Check Box 46" hidden="1">
              <a:extLst>
                <a:ext uri="{63B3BB69-23CF-44E3-9099-C40C66FF867C}">
                  <a14:compatExt spid="_x0000_s113710"/>
                </a:ext>
                <a:ext uri="{FF2B5EF4-FFF2-40B4-BE49-F238E27FC236}">
                  <a16:creationId xmlns:a16="http://schemas.microsoft.com/office/drawing/2014/main" id="{00000000-0008-0000-0200-00001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6</xdr:col>
          <xdr:colOff>998220</xdr:colOff>
          <xdr:row>39</xdr:row>
          <xdr:rowOff>0</xdr:rowOff>
        </xdr:to>
        <xdr:sp macro="" textlink="">
          <xdr:nvSpPr>
            <xdr:cNvPr id="113711" name="Check Box 47" hidden="1">
              <a:extLst>
                <a:ext uri="{63B3BB69-23CF-44E3-9099-C40C66FF867C}">
                  <a14:compatExt spid="_x0000_s113711"/>
                </a:ext>
                <a:ext uri="{FF2B5EF4-FFF2-40B4-BE49-F238E27FC236}">
                  <a16:creationId xmlns:a16="http://schemas.microsoft.com/office/drawing/2014/main" id="{00000000-0008-0000-0200-00001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11</xdr:row>
          <xdr:rowOff>251460</xdr:rowOff>
        </xdr:to>
        <xdr:sp macro="" textlink="">
          <xdr:nvSpPr>
            <xdr:cNvPr id="113712" name="Check Box 48" hidden="1">
              <a:extLst>
                <a:ext uri="{63B3BB69-23CF-44E3-9099-C40C66FF867C}">
                  <a14:compatExt spid="_x0000_s113712"/>
                </a:ext>
                <a:ext uri="{FF2B5EF4-FFF2-40B4-BE49-F238E27FC236}">
                  <a16:creationId xmlns:a16="http://schemas.microsoft.com/office/drawing/2014/main" id="{00000000-0008-0000-0200-00001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3</xdr:col>
          <xdr:colOff>1524000</xdr:colOff>
          <xdr:row>32</xdr:row>
          <xdr:rowOff>2080260</xdr:rowOff>
        </xdr:to>
        <xdr:sp macro="" textlink="">
          <xdr:nvSpPr>
            <xdr:cNvPr id="62465" name="Check Box 1" hidden="1">
              <a:extLst>
                <a:ext uri="{63B3BB69-23CF-44E3-9099-C40C66FF867C}">
                  <a14:compatExt spid="_x0000_s62465"/>
                </a:ext>
                <a:ext uri="{FF2B5EF4-FFF2-40B4-BE49-F238E27FC236}">
                  <a16:creationId xmlns:a16="http://schemas.microsoft.com/office/drawing/2014/main" id="{00000000-0008-0000-02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4</xdr:col>
          <xdr:colOff>381000</xdr:colOff>
          <xdr:row>34</xdr:row>
          <xdr:rowOff>160020</xdr:rowOff>
        </xdr:to>
        <xdr:sp macro="" textlink="">
          <xdr:nvSpPr>
            <xdr:cNvPr id="62466" name="Check Box 2" hidden="1">
              <a:extLst>
                <a:ext uri="{63B3BB69-23CF-44E3-9099-C40C66FF867C}">
                  <a14:compatExt spid="_x0000_s62466"/>
                </a:ext>
                <a:ext uri="{FF2B5EF4-FFF2-40B4-BE49-F238E27FC236}">
                  <a16:creationId xmlns:a16="http://schemas.microsoft.com/office/drawing/2014/main" id="{00000000-0008-0000-02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4</xdr:col>
          <xdr:colOff>1341120</xdr:colOff>
          <xdr:row>33</xdr:row>
          <xdr:rowOff>76200</xdr:rowOff>
        </xdr:to>
        <xdr:sp macro="" textlink="">
          <xdr:nvSpPr>
            <xdr:cNvPr id="62467" name="Check Box 3" hidden="1">
              <a:extLst>
                <a:ext uri="{63B3BB69-23CF-44E3-9099-C40C66FF867C}">
                  <a14:compatExt spid="_x0000_s62467"/>
                </a:ext>
                <a:ext uri="{FF2B5EF4-FFF2-40B4-BE49-F238E27FC236}">
                  <a16:creationId xmlns:a16="http://schemas.microsoft.com/office/drawing/2014/main" id="{00000000-0008-0000-0200-00000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30480</xdr:rowOff>
        </xdr:from>
        <xdr:to>
          <xdr:col>16</xdr:col>
          <xdr:colOff>182880</xdr:colOff>
          <xdr:row>36</xdr:row>
          <xdr:rowOff>160020</xdr:rowOff>
        </xdr:to>
        <xdr:sp macro="" textlink="">
          <xdr:nvSpPr>
            <xdr:cNvPr id="62468" name="Check Box 4" hidden="1">
              <a:extLst>
                <a:ext uri="{63B3BB69-23CF-44E3-9099-C40C66FF867C}">
                  <a14:compatExt spid="_x0000_s62468"/>
                </a:ext>
                <a:ext uri="{FF2B5EF4-FFF2-40B4-BE49-F238E27FC236}">
                  <a16:creationId xmlns:a16="http://schemas.microsoft.com/office/drawing/2014/main" id="{00000000-0008-0000-0200-00000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37</xdr:row>
          <xdr:rowOff>30480</xdr:rowOff>
        </xdr:from>
        <xdr:to>
          <xdr:col>16</xdr:col>
          <xdr:colOff>571500</xdr:colOff>
          <xdr:row>38</xdr:row>
          <xdr:rowOff>0</xdr:rowOff>
        </xdr:to>
        <xdr:sp macro="" textlink="">
          <xdr:nvSpPr>
            <xdr:cNvPr id="62469" name="Check Box 5" hidden="1">
              <a:extLst>
                <a:ext uri="{63B3BB69-23CF-44E3-9099-C40C66FF867C}">
                  <a14:compatExt spid="_x0000_s62469"/>
                </a:ext>
                <a:ext uri="{FF2B5EF4-FFF2-40B4-BE49-F238E27FC236}">
                  <a16:creationId xmlns:a16="http://schemas.microsoft.com/office/drawing/2014/main" id="{00000000-0008-0000-0200-00000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14</xdr:col>
          <xdr:colOff>487680</xdr:colOff>
          <xdr:row>39</xdr:row>
          <xdr:rowOff>0</xdr:rowOff>
        </xdr:to>
        <xdr:sp macro="" textlink="">
          <xdr:nvSpPr>
            <xdr:cNvPr id="62470" name="Check Box 6" hidden="1">
              <a:extLst>
                <a:ext uri="{63B3BB69-23CF-44E3-9099-C40C66FF867C}">
                  <a14:compatExt spid="_x0000_s62470"/>
                </a:ext>
                <a:ext uri="{FF2B5EF4-FFF2-40B4-BE49-F238E27FC236}">
                  <a16:creationId xmlns:a16="http://schemas.microsoft.com/office/drawing/2014/main" id="{00000000-0008-0000-0200-00000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62471" name="Check Box 7" hidden="1">
              <a:extLst>
                <a:ext uri="{63B3BB69-23CF-44E3-9099-C40C66FF867C}">
                  <a14:compatExt spid="_x0000_s62471"/>
                </a:ext>
                <a:ext uri="{FF2B5EF4-FFF2-40B4-BE49-F238E27FC236}">
                  <a16:creationId xmlns:a16="http://schemas.microsoft.com/office/drawing/2014/main" id="{00000000-0008-0000-0200-00000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3</xdr:col>
          <xdr:colOff>1524000</xdr:colOff>
          <xdr:row>32</xdr:row>
          <xdr:rowOff>2080260</xdr:rowOff>
        </xdr:to>
        <xdr:sp macro="" textlink="">
          <xdr:nvSpPr>
            <xdr:cNvPr id="62472" name="Check Box 8" hidden="1">
              <a:extLst>
                <a:ext uri="{63B3BB69-23CF-44E3-9099-C40C66FF867C}">
                  <a14:compatExt spid="_x0000_s62472"/>
                </a:ext>
                <a:ext uri="{FF2B5EF4-FFF2-40B4-BE49-F238E27FC236}">
                  <a16:creationId xmlns:a16="http://schemas.microsoft.com/office/drawing/2014/main" id="{00000000-0008-0000-0200-00000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4</xdr:col>
          <xdr:colOff>381000</xdr:colOff>
          <xdr:row>34</xdr:row>
          <xdr:rowOff>160020</xdr:rowOff>
        </xdr:to>
        <xdr:sp macro="" textlink="">
          <xdr:nvSpPr>
            <xdr:cNvPr id="62473" name="Check Box 9" hidden="1">
              <a:extLst>
                <a:ext uri="{63B3BB69-23CF-44E3-9099-C40C66FF867C}">
                  <a14:compatExt spid="_x0000_s62473"/>
                </a:ext>
                <a:ext uri="{FF2B5EF4-FFF2-40B4-BE49-F238E27FC236}">
                  <a16:creationId xmlns:a16="http://schemas.microsoft.com/office/drawing/2014/main" id="{00000000-0008-0000-0200-00000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4</xdr:col>
          <xdr:colOff>1341120</xdr:colOff>
          <xdr:row>33</xdr:row>
          <xdr:rowOff>76200</xdr:rowOff>
        </xdr:to>
        <xdr:sp macro="" textlink="">
          <xdr:nvSpPr>
            <xdr:cNvPr id="62474" name="Check Box 10" hidden="1">
              <a:extLst>
                <a:ext uri="{63B3BB69-23CF-44E3-9099-C40C66FF867C}">
                  <a14:compatExt spid="_x0000_s62474"/>
                </a:ext>
                <a:ext uri="{FF2B5EF4-FFF2-40B4-BE49-F238E27FC236}">
                  <a16:creationId xmlns:a16="http://schemas.microsoft.com/office/drawing/2014/main" id="{00000000-0008-0000-0200-00000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14</xdr:col>
          <xdr:colOff>487680</xdr:colOff>
          <xdr:row>39</xdr:row>
          <xdr:rowOff>0</xdr:rowOff>
        </xdr:to>
        <xdr:sp macro="" textlink="">
          <xdr:nvSpPr>
            <xdr:cNvPr id="62475" name="Check Box 11" hidden="1">
              <a:extLst>
                <a:ext uri="{63B3BB69-23CF-44E3-9099-C40C66FF867C}">
                  <a14:compatExt spid="_x0000_s62475"/>
                </a:ext>
                <a:ext uri="{FF2B5EF4-FFF2-40B4-BE49-F238E27FC236}">
                  <a16:creationId xmlns:a16="http://schemas.microsoft.com/office/drawing/2014/main" id="{00000000-0008-0000-0200-00000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62476" name="Check Box 12" hidden="1">
              <a:extLst>
                <a:ext uri="{63B3BB69-23CF-44E3-9099-C40C66FF867C}">
                  <a14:compatExt spid="_x0000_s62476"/>
                </a:ext>
                <a:ext uri="{FF2B5EF4-FFF2-40B4-BE49-F238E27FC236}">
                  <a16:creationId xmlns:a16="http://schemas.microsoft.com/office/drawing/2014/main" id="{00000000-0008-0000-0200-00000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3</xdr:col>
          <xdr:colOff>1524000</xdr:colOff>
          <xdr:row>32</xdr:row>
          <xdr:rowOff>2080260</xdr:rowOff>
        </xdr:to>
        <xdr:sp macro="" textlink="">
          <xdr:nvSpPr>
            <xdr:cNvPr id="62477" name="Check Box 13" hidden="1">
              <a:extLst>
                <a:ext uri="{63B3BB69-23CF-44E3-9099-C40C66FF867C}">
                  <a14:compatExt spid="_x0000_s62477"/>
                </a:ext>
                <a:ext uri="{FF2B5EF4-FFF2-40B4-BE49-F238E27FC236}">
                  <a16:creationId xmlns:a16="http://schemas.microsoft.com/office/drawing/2014/main" id="{00000000-0008-0000-0200-00000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4</xdr:col>
          <xdr:colOff>381000</xdr:colOff>
          <xdr:row>34</xdr:row>
          <xdr:rowOff>160020</xdr:rowOff>
        </xdr:to>
        <xdr:sp macro="" textlink="">
          <xdr:nvSpPr>
            <xdr:cNvPr id="62478" name="Check Box 14" hidden="1">
              <a:extLst>
                <a:ext uri="{63B3BB69-23CF-44E3-9099-C40C66FF867C}">
                  <a14:compatExt spid="_x0000_s62478"/>
                </a:ext>
                <a:ext uri="{FF2B5EF4-FFF2-40B4-BE49-F238E27FC236}">
                  <a16:creationId xmlns:a16="http://schemas.microsoft.com/office/drawing/2014/main" id="{00000000-0008-0000-0200-00000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4</xdr:col>
          <xdr:colOff>1341120</xdr:colOff>
          <xdr:row>33</xdr:row>
          <xdr:rowOff>76200</xdr:rowOff>
        </xdr:to>
        <xdr:sp macro="" textlink="">
          <xdr:nvSpPr>
            <xdr:cNvPr id="62479" name="Check Box 15" hidden="1">
              <a:extLst>
                <a:ext uri="{63B3BB69-23CF-44E3-9099-C40C66FF867C}">
                  <a14:compatExt spid="_x0000_s62479"/>
                </a:ext>
                <a:ext uri="{FF2B5EF4-FFF2-40B4-BE49-F238E27FC236}">
                  <a16:creationId xmlns:a16="http://schemas.microsoft.com/office/drawing/2014/main" id="{00000000-0008-0000-0200-00000F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30480</xdr:rowOff>
        </xdr:from>
        <xdr:to>
          <xdr:col>16</xdr:col>
          <xdr:colOff>182880</xdr:colOff>
          <xdr:row>36</xdr:row>
          <xdr:rowOff>160020</xdr:rowOff>
        </xdr:to>
        <xdr:sp macro="" textlink="">
          <xdr:nvSpPr>
            <xdr:cNvPr id="62480" name="Check Box 16" hidden="1">
              <a:extLst>
                <a:ext uri="{63B3BB69-23CF-44E3-9099-C40C66FF867C}">
                  <a14:compatExt spid="_x0000_s62480"/>
                </a:ext>
                <a:ext uri="{FF2B5EF4-FFF2-40B4-BE49-F238E27FC236}">
                  <a16:creationId xmlns:a16="http://schemas.microsoft.com/office/drawing/2014/main" id="{00000000-0008-0000-0200-00001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37</xdr:row>
          <xdr:rowOff>30480</xdr:rowOff>
        </xdr:from>
        <xdr:to>
          <xdr:col>16</xdr:col>
          <xdr:colOff>571500</xdr:colOff>
          <xdr:row>38</xdr:row>
          <xdr:rowOff>0</xdr:rowOff>
        </xdr:to>
        <xdr:sp macro="" textlink="">
          <xdr:nvSpPr>
            <xdr:cNvPr id="62481" name="Check Box 17" hidden="1">
              <a:extLst>
                <a:ext uri="{63B3BB69-23CF-44E3-9099-C40C66FF867C}">
                  <a14:compatExt spid="_x0000_s62481"/>
                </a:ext>
                <a:ext uri="{FF2B5EF4-FFF2-40B4-BE49-F238E27FC236}">
                  <a16:creationId xmlns:a16="http://schemas.microsoft.com/office/drawing/2014/main" id="{00000000-0008-0000-0200-00001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14</xdr:col>
          <xdr:colOff>487680</xdr:colOff>
          <xdr:row>39</xdr:row>
          <xdr:rowOff>0</xdr:rowOff>
        </xdr:to>
        <xdr:sp macro="" textlink="">
          <xdr:nvSpPr>
            <xdr:cNvPr id="62482" name="Check Box 18" hidden="1">
              <a:extLst>
                <a:ext uri="{63B3BB69-23CF-44E3-9099-C40C66FF867C}">
                  <a14:compatExt spid="_x0000_s62482"/>
                </a:ext>
                <a:ext uri="{FF2B5EF4-FFF2-40B4-BE49-F238E27FC236}">
                  <a16:creationId xmlns:a16="http://schemas.microsoft.com/office/drawing/2014/main" id="{00000000-0008-0000-0200-00001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62483" name="Check Box 19" hidden="1">
              <a:extLst>
                <a:ext uri="{63B3BB69-23CF-44E3-9099-C40C66FF867C}">
                  <a14:compatExt spid="_x0000_s62483"/>
                </a:ext>
                <a:ext uri="{FF2B5EF4-FFF2-40B4-BE49-F238E27FC236}">
                  <a16:creationId xmlns:a16="http://schemas.microsoft.com/office/drawing/2014/main" id="{00000000-0008-0000-0200-00001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3</xdr:col>
          <xdr:colOff>1524000</xdr:colOff>
          <xdr:row>32</xdr:row>
          <xdr:rowOff>2080260</xdr:rowOff>
        </xdr:to>
        <xdr:sp macro="" textlink="">
          <xdr:nvSpPr>
            <xdr:cNvPr id="62484" name="Check Box 20" hidden="1">
              <a:extLst>
                <a:ext uri="{63B3BB69-23CF-44E3-9099-C40C66FF867C}">
                  <a14:compatExt spid="_x0000_s62484"/>
                </a:ext>
                <a:ext uri="{FF2B5EF4-FFF2-40B4-BE49-F238E27FC236}">
                  <a16:creationId xmlns:a16="http://schemas.microsoft.com/office/drawing/2014/main" id="{00000000-0008-0000-0200-00001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4</xdr:col>
          <xdr:colOff>381000</xdr:colOff>
          <xdr:row>34</xdr:row>
          <xdr:rowOff>160020</xdr:rowOff>
        </xdr:to>
        <xdr:sp macro="" textlink="">
          <xdr:nvSpPr>
            <xdr:cNvPr id="62485" name="Check Box 21" hidden="1">
              <a:extLst>
                <a:ext uri="{63B3BB69-23CF-44E3-9099-C40C66FF867C}">
                  <a14:compatExt spid="_x0000_s62485"/>
                </a:ext>
                <a:ext uri="{FF2B5EF4-FFF2-40B4-BE49-F238E27FC236}">
                  <a16:creationId xmlns:a16="http://schemas.microsoft.com/office/drawing/2014/main" id="{00000000-0008-0000-0200-00001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4</xdr:col>
          <xdr:colOff>1341120</xdr:colOff>
          <xdr:row>33</xdr:row>
          <xdr:rowOff>76200</xdr:rowOff>
        </xdr:to>
        <xdr:sp macro="" textlink="">
          <xdr:nvSpPr>
            <xdr:cNvPr id="62486" name="Check Box 22" hidden="1">
              <a:extLst>
                <a:ext uri="{63B3BB69-23CF-44E3-9099-C40C66FF867C}">
                  <a14:compatExt spid="_x0000_s62486"/>
                </a:ext>
                <a:ext uri="{FF2B5EF4-FFF2-40B4-BE49-F238E27FC236}">
                  <a16:creationId xmlns:a16="http://schemas.microsoft.com/office/drawing/2014/main" id="{00000000-0008-0000-0200-00001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14</xdr:col>
          <xdr:colOff>487680</xdr:colOff>
          <xdr:row>39</xdr:row>
          <xdr:rowOff>0</xdr:rowOff>
        </xdr:to>
        <xdr:sp macro="" textlink="">
          <xdr:nvSpPr>
            <xdr:cNvPr id="62487" name="Check Box 23" hidden="1">
              <a:extLst>
                <a:ext uri="{63B3BB69-23CF-44E3-9099-C40C66FF867C}">
                  <a14:compatExt spid="_x0000_s62487"/>
                </a:ext>
                <a:ext uri="{FF2B5EF4-FFF2-40B4-BE49-F238E27FC236}">
                  <a16:creationId xmlns:a16="http://schemas.microsoft.com/office/drawing/2014/main" id="{00000000-0008-0000-0200-00001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62488" name="Check Box 24" hidden="1">
              <a:extLst>
                <a:ext uri="{63B3BB69-23CF-44E3-9099-C40C66FF867C}">
                  <a14:compatExt spid="_x0000_s62488"/>
                </a:ext>
                <a:ext uri="{FF2B5EF4-FFF2-40B4-BE49-F238E27FC236}">
                  <a16:creationId xmlns:a16="http://schemas.microsoft.com/office/drawing/2014/main" id="{00000000-0008-0000-0200-00001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34</xdr:row>
          <xdr:rowOff>7620</xdr:rowOff>
        </xdr:from>
        <xdr:to>
          <xdr:col>4</xdr:col>
          <xdr:colOff>723900</xdr:colOff>
          <xdr:row>35</xdr:row>
          <xdr:rowOff>38100</xdr:rowOff>
        </xdr:to>
        <xdr:sp macro="" textlink="">
          <xdr:nvSpPr>
            <xdr:cNvPr id="62489" name="Check Box 25" hidden="1">
              <a:extLst>
                <a:ext uri="{63B3BB69-23CF-44E3-9099-C40C66FF867C}">
                  <a14:compatExt spid="_x0000_s62489"/>
                </a:ext>
                <a:ext uri="{FF2B5EF4-FFF2-40B4-BE49-F238E27FC236}">
                  <a16:creationId xmlns:a16="http://schemas.microsoft.com/office/drawing/2014/main" id="{00000000-0008-0000-01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Կորոնավիրուսի համավարակի հետևանքների հաղթահարում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35</xdr:row>
          <xdr:rowOff>0</xdr:rowOff>
        </xdr:from>
        <xdr:to>
          <xdr:col>3</xdr:col>
          <xdr:colOff>1562100</xdr:colOff>
          <xdr:row>36</xdr:row>
          <xdr:rowOff>7620</xdr:rowOff>
        </xdr:to>
        <xdr:sp macro="" textlink="">
          <xdr:nvSpPr>
            <xdr:cNvPr id="62490" name="Check Box 26" hidden="1">
              <a:extLst>
                <a:ext uri="{63B3BB69-23CF-44E3-9099-C40C66FF867C}">
                  <a14:compatExt spid="_x0000_s62490"/>
                </a:ext>
                <a:ext uri="{FF2B5EF4-FFF2-40B4-BE49-F238E27FC236}">
                  <a16:creationId xmlns:a16="http://schemas.microsoft.com/office/drawing/2014/main" id="{00000000-0008-0000-01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37</xdr:row>
          <xdr:rowOff>0</xdr:rowOff>
        </xdr:from>
        <xdr:to>
          <xdr:col>4</xdr:col>
          <xdr:colOff>381000</xdr:colOff>
          <xdr:row>37</xdr:row>
          <xdr:rowOff>160020</xdr:rowOff>
        </xdr:to>
        <xdr:sp macro="" textlink="">
          <xdr:nvSpPr>
            <xdr:cNvPr id="62491" name="Check Box 27" hidden="1">
              <a:extLst>
                <a:ext uri="{63B3BB69-23CF-44E3-9099-C40C66FF867C}">
                  <a14:compatExt spid="_x0000_s62491"/>
                </a:ext>
                <a:ext uri="{FF2B5EF4-FFF2-40B4-BE49-F238E27FC236}">
                  <a16:creationId xmlns:a16="http://schemas.microsoft.com/office/drawing/2014/main" id="{00000000-0008-0000-01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35</xdr:row>
          <xdr:rowOff>182880</xdr:rowOff>
        </xdr:from>
        <xdr:to>
          <xdr:col>4</xdr:col>
          <xdr:colOff>1295400</xdr:colOff>
          <xdr:row>37</xdr:row>
          <xdr:rowOff>22860</xdr:rowOff>
        </xdr:to>
        <xdr:sp macro="" textlink="">
          <xdr:nvSpPr>
            <xdr:cNvPr id="62492" name="Check Box 28" hidden="1">
              <a:extLst>
                <a:ext uri="{63B3BB69-23CF-44E3-9099-C40C66FF867C}">
                  <a14:compatExt spid="_x0000_s62492"/>
                </a:ext>
                <a:ext uri="{FF2B5EF4-FFF2-40B4-BE49-F238E27FC236}">
                  <a16:creationId xmlns:a16="http://schemas.microsoft.com/office/drawing/2014/main" id="{00000000-0008-0000-01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39</xdr:row>
          <xdr:rowOff>30480</xdr:rowOff>
        </xdr:from>
        <xdr:to>
          <xdr:col>16</xdr:col>
          <xdr:colOff>304800</xdr:colOff>
          <xdr:row>39</xdr:row>
          <xdr:rowOff>160020</xdr:rowOff>
        </xdr:to>
        <xdr:sp macro="" textlink="">
          <xdr:nvSpPr>
            <xdr:cNvPr id="62493" name="Check Box 29" hidden="1">
              <a:extLst>
                <a:ext uri="{63B3BB69-23CF-44E3-9099-C40C66FF867C}">
                  <a14:compatExt spid="_x0000_s62493"/>
                </a:ext>
                <a:ext uri="{FF2B5EF4-FFF2-40B4-BE49-F238E27FC236}">
                  <a16:creationId xmlns:a16="http://schemas.microsoft.com/office/drawing/2014/main" id="{00000000-0008-0000-01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40</xdr:row>
          <xdr:rowOff>30480</xdr:rowOff>
        </xdr:from>
        <xdr:to>
          <xdr:col>16</xdr:col>
          <xdr:colOff>541020</xdr:colOff>
          <xdr:row>41</xdr:row>
          <xdr:rowOff>0</xdr:rowOff>
        </xdr:to>
        <xdr:sp macro="" textlink="">
          <xdr:nvSpPr>
            <xdr:cNvPr id="62494" name="Check Box 30" hidden="1">
              <a:extLst>
                <a:ext uri="{63B3BB69-23CF-44E3-9099-C40C66FF867C}">
                  <a14:compatExt spid="_x0000_s62494"/>
                </a:ext>
                <a:ext uri="{FF2B5EF4-FFF2-40B4-BE49-F238E27FC236}">
                  <a16:creationId xmlns:a16="http://schemas.microsoft.com/office/drawing/2014/main" id="{00000000-0008-0000-01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41</xdr:row>
          <xdr:rowOff>7620</xdr:rowOff>
        </xdr:from>
        <xdr:to>
          <xdr:col>14</xdr:col>
          <xdr:colOff>563880</xdr:colOff>
          <xdr:row>42</xdr:row>
          <xdr:rowOff>0</xdr:rowOff>
        </xdr:to>
        <xdr:sp macro="" textlink="">
          <xdr:nvSpPr>
            <xdr:cNvPr id="62495" name="Check Box 31" hidden="1">
              <a:extLst>
                <a:ext uri="{63B3BB69-23CF-44E3-9099-C40C66FF867C}">
                  <a14:compatExt spid="_x0000_s62495"/>
                </a:ext>
                <a:ext uri="{FF2B5EF4-FFF2-40B4-BE49-F238E27FC236}">
                  <a16:creationId xmlns:a16="http://schemas.microsoft.com/office/drawing/2014/main" id="{00000000-0008-0000-01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62496" name="Check Box 32" hidden="1">
              <a:extLst>
                <a:ext uri="{63B3BB69-23CF-44E3-9099-C40C66FF867C}">
                  <a14:compatExt spid="_x0000_s62496"/>
                </a:ext>
                <a:ext uri="{FF2B5EF4-FFF2-40B4-BE49-F238E27FC236}">
                  <a16:creationId xmlns:a16="http://schemas.microsoft.com/office/drawing/2014/main" id="{00000000-0008-0000-01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3</xdr:col>
          <xdr:colOff>632460</xdr:colOff>
          <xdr:row>33</xdr:row>
          <xdr:rowOff>30480</xdr:rowOff>
        </xdr:to>
        <xdr:sp macro="" textlink="">
          <xdr:nvSpPr>
            <xdr:cNvPr id="65537" name="Check Box 1" hidden="1">
              <a:extLst>
                <a:ext uri="{63B3BB69-23CF-44E3-9099-C40C66FF867C}">
                  <a14:compatExt spid="_x0000_s65537"/>
                </a:ext>
                <a:ext uri="{FF2B5EF4-FFF2-40B4-BE49-F238E27FC236}">
                  <a16:creationId xmlns:a16="http://schemas.microsoft.com/office/drawing/2014/main" id="{00000000-0008-0000-02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3</xdr:col>
          <xdr:colOff>2004060</xdr:colOff>
          <xdr:row>34</xdr:row>
          <xdr:rowOff>160020</xdr:rowOff>
        </xdr:to>
        <xdr:sp macro="" textlink="">
          <xdr:nvSpPr>
            <xdr:cNvPr id="65538" name="Check Box 2" hidden="1">
              <a:extLst>
                <a:ext uri="{63B3BB69-23CF-44E3-9099-C40C66FF867C}">
                  <a14:compatExt spid="_x0000_s65538"/>
                </a:ext>
                <a:ext uri="{FF2B5EF4-FFF2-40B4-BE49-F238E27FC236}">
                  <a16:creationId xmlns:a16="http://schemas.microsoft.com/office/drawing/2014/main" id="{00000000-0008-0000-02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3</xdr:col>
          <xdr:colOff>2956560</xdr:colOff>
          <xdr:row>34</xdr:row>
          <xdr:rowOff>7620</xdr:rowOff>
        </xdr:to>
        <xdr:sp macro="" textlink="">
          <xdr:nvSpPr>
            <xdr:cNvPr id="65539" name="Check Box 3" hidden="1">
              <a:extLst>
                <a:ext uri="{63B3BB69-23CF-44E3-9099-C40C66FF867C}">
                  <a14:compatExt spid="_x0000_s65539"/>
                </a:ext>
                <a:ext uri="{FF2B5EF4-FFF2-40B4-BE49-F238E27FC236}">
                  <a16:creationId xmlns:a16="http://schemas.microsoft.com/office/drawing/2014/main" id="{00000000-0008-0000-0200-00000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30480</xdr:rowOff>
        </xdr:from>
        <xdr:to>
          <xdr:col>10</xdr:col>
          <xdr:colOff>388620</xdr:colOff>
          <xdr:row>36</xdr:row>
          <xdr:rowOff>160020</xdr:rowOff>
        </xdr:to>
        <xdr:sp macro="" textlink="">
          <xdr:nvSpPr>
            <xdr:cNvPr id="65540" name="Check Box 4" hidden="1">
              <a:extLst>
                <a:ext uri="{63B3BB69-23CF-44E3-9099-C40C66FF867C}">
                  <a14:compatExt spid="_x0000_s65540"/>
                </a:ext>
                <a:ext uri="{FF2B5EF4-FFF2-40B4-BE49-F238E27FC236}">
                  <a16:creationId xmlns:a16="http://schemas.microsoft.com/office/drawing/2014/main" id="{00000000-0008-0000-0200-00000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37</xdr:row>
          <xdr:rowOff>30480</xdr:rowOff>
        </xdr:from>
        <xdr:to>
          <xdr:col>11</xdr:col>
          <xdr:colOff>152400</xdr:colOff>
          <xdr:row>38</xdr:row>
          <xdr:rowOff>0</xdr:rowOff>
        </xdr:to>
        <xdr:sp macro="" textlink="">
          <xdr:nvSpPr>
            <xdr:cNvPr id="65541" name="Check Box 5" hidden="1">
              <a:extLst>
                <a:ext uri="{63B3BB69-23CF-44E3-9099-C40C66FF867C}">
                  <a14:compatExt spid="_x0000_s65541"/>
                </a:ext>
                <a:ext uri="{FF2B5EF4-FFF2-40B4-BE49-F238E27FC236}">
                  <a16:creationId xmlns:a16="http://schemas.microsoft.com/office/drawing/2014/main" id="{00000000-0008-0000-0200-00000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6</xdr:col>
          <xdr:colOff>1394460</xdr:colOff>
          <xdr:row>39</xdr:row>
          <xdr:rowOff>0</xdr:rowOff>
        </xdr:to>
        <xdr:sp macro="" textlink="">
          <xdr:nvSpPr>
            <xdr:cNvPr id="65542" name="Check Box 6" hidden="1">
              <a:extLst>
                <a:ext uri="{63B3BB69-23CF-44E3-9099-C40C66FF867C}">
                  <a14:compatExt spid="_x0000_s65542"/>
                </a:ext>
                <a:ext uri="{FF2B5EF4-FFF2-40B4-BE49-F238E27FC236}">
                  <a16:creationId xmlns:a16="http://schemas.microsoft.com/office/drawing/2014/main" id="{00000000-0008-0000-0200-00000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65543" name="Check Box 7" hidden="1">
              <a:extLst>
                <a:ext uri="{63B3BB69-23CF-44E3-9099-C40C66FF867C}">
                  <a14:compatExt spid="_x0000_s65543"/>
                </a:ext>
                <a:ext uri="{FF2B5EF4-FFF2-40B4-BE49-F238E27FC236}">
                  <a16:creationId xmlns:a16="http://schemas.microsoft.com/office/drawing/2014/main" id="{00000000-0008-0000-0200-00000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3</xdr:col>
          <xdr:colOff>632460</xdr:colOff>
          <xdr:row>33</xdr:row>
          <xdr:rowOff>30480</xdr:rowOff>
        </xdr:to>
        <xdr:sp macro="" textlink="">
          <xdr:nvSpPr>
            <xdr:cNvPr id="65544" name="Check Box 8" hidden="1">
              <a:extLst>
                <a:ext uri="{63B3BB69-23CF-44E3-9099-C40C66FF867C}">
                  <a14:compatExt spid="_x0000_s65544"/>
                </a:ext>
                <a:ext uri="{FF2B5EF4-FFF2-40B4-BE49-F238E27FC236}">
                  <a16:creationId xmlns:a16="http://schemas.microsoft.com/office/drawing/2014/main" id="{00000000-0008-0000-0200-00000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3</xdr:col>
          <xdr:colOff>2004060</xdr:colOff>
          <xdr:row>34</xdr:row>
          <xdr:rowOff>160020</xdr:rowOff>
        </xdr:to>
        <xdr:sp macro="" textlink="">
          <xdr:nvSpPr>
            <xdr:cNvPr id="65545" name="Check Box 9" hidden="1">
              <a:extLst>
                <a:ext uri="{63B3BB69-23CF-44E3-9099-C40C66FF867C}">
                  <a14:compatExt spid="_x0000_s65545"/>
                </a:ext>
                <a:ext uri="{FF2B5EF4-FFF2-40B4-BE49-F238E27FC236}">
                  <a16:creationId xmlns:a16="http://schemas.microsoft.com/office/drawing/2014/main" id="{00000000-0008-0000-0200-00000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3</xdr:col>
          <xdr:colOff>2956560</xdr:colOff>
          <xdr:row>34</xdr:row>
          <xdr:rowOff>7620</xdr:rowOff>
        </xdr:to>
        <xdr:sp macro="" textlink="">
          <xdr:nvSpPr>
            <xdr:cNvPr id="65546" name="Check Box 10" hidden="1">
              <a:extLst>
                <a:ext uri="{63B3BB69-23CF-44E3-9099-C40C66FF867C}">
                  <a14:compatExt spid="_x0000_s65546"/>
                </a:ext>
                <a:ext uri="{FF2B5EF4-FFF2-40B4-BE49-F238E27FC236}">
                  <a16:creationId xmlns:a16="http://schemas.microsoft.com/office/drawing/2014/main" id="{00000000-0008-0000-0200-00000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6</xdr:col>
          <xdr:colOff>1394460</xdr:colOff>
          <xdr:row>39</xdr:row>
          <xdr:rowOff>0</xdr:rowOff>
        </xdr:to>
        <xdr:sp macro="" textlink="">
          <xdr:nvSpPr>
            <xdr:cNvPr id="65547" name="Check Box 11" hidden="1">
              <a:extLst>
                <a:ext uri="{63B3BB69-23CF-44E3-9099-C40C66FF867C}">
                  <a14:compatExt spid="_x0000_s65547"/>
                </a:ext>
                <a:ext uri="{FF2B5EF4-FFF2-40B4-BE49-F238E27FC236}">
                  <a16:creationId xmlns:a16="http://schemas.microsoft.com/office/drawing/2014/main" id="{00000000-0008-0000-0200-00000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65548" name="Check Box 12" hidden="1">
              <a:extLst>
                <a:ext uri="{63B3BB69-23CF-44E3-9099-C40C66FF867C}">
                  <a14:compatExt spid="_x0000_s65548"/>
                </a:ext>
                <a:ext uri="{FF2B5EF4-FFF2-40B4-BE49-F238E27FC236}">
                  <a16:creationId xmlns:a16="http://schemas.microsoft.com/office/drawing/2014/main" id="{00000000-0008-0000-0200-00000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3</xdr:col>
          <xdr:colOff>632460</xdr:colOff>
          <xdr:row>33</xdr:row>
          <xdr:rowOff>30480</xdr:rowOff>
        </xdr:to>
        <xdr:sp macro="" textlink="">
          <xdr:nvSpPr>
            <xdr:cNvPr id="65549" name="Check Box 13" hidden="1">
              <a:extLst>
                <a:ext uri="{63B3BB69-23CF-44E3-9099-C40C66FF867C}">
                  <a14:compatExt spid="_x0000_s65549"/>
                </a:ext>
                <a:ext uri="{FF2B5EF4-FFF2-40B4-BE49-F238E27FC236}">
                  <a16:creationId xmlns:a16="http://schemas.microsoft.com/office/drawing/2014/main" id="{00000000-0008-0000-0200-00000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3</xdr:col>
          <xdr:colOff>2004060</xdr:colOff>
          <xdr:row>34</xdr:row>
          <xdr:rowOff>160020</xdr:rowOff>
        </xdr:to>
        <xdr:sp macro="" textlink="">
          <xdr:nvSpPr>
            <xdr:cNvPr id="65550" name="Check Box 14" hidden="1">
              <a:extLst>
                <a:ext uri="{63B3BB69-23CF-44E3-9099-C40C66FF867C}">
                  <a14:compatExt spid="_x0000_s65550"/>
                </a:ext>
                <a:ext uri="{FF2B5EF4-FFF2-40B4-BE49-F238E27FC236}">
                  <a16:creationId xmlns:a16="http://schemas.microsoft.com/office/drawing/2014/main" id="{00000000-0008-0000-0200-00000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3</xdr:col>
          <xdr:colOff>2956560</xdr:colOff>
          <xdr:row>34</xdr:row>
          <xdr:rowOff>7620</xdr:rowOff>
        </xdr:to>
        <xdr:sp macro="" textlink="">
          <xdr:nvSpPr>
            <xdr:cNvPr id="65551" name="Check Box 15" hidden="1">
              <a:extLst>
                <a:ext uri="{63B3BB69-23CF-44E3-9099-C40C66FF867C}">
                  <a14:compatExt spid="_x0000_s65551"/>
                </a:ext>
                <a:ext uri="{FF2B5EF4-FFF2-40B4-BE49-F238E27FC236}">
                  <a16:creationId xmlns:a16="http://schemas.microsoft.com/office/drawing/2014/main" id="{00000000-0008-0000-0200-00000F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30480</xdr:rowOff>
        </xdr:from>
        <xdr:to>
          <xdr:col>10</xdr:col>
          <xdr:colOff>388620</xdr:colOff>
          <xdr:row>36</xdr:row>
          <xdr:rowOff>160020</xdr:rowOff>
        </xdr:to>
        <xdr:sp macro="" textlink="">
          <xdr:nvSpPr>
            <xdr:cNvPr id="65552" name="Check Box 16" hidden="1">
              <a:extLst>
                <a:ext uri="{63B3BB69-23CF-44E3-9099-C40C66FF867C}">
                  <a14:compatExt spid="_x0000_s65552"/>
                </a:ext>
                <a:ext uri="{FF2B5EF4-FFF2-40B4-BE49-F238E27FC236}">
                  <a16:creationId xmlns:a16="http://schemas.microsoft.com/office/drawing/2014/main" id="{00000000-0008-0000-0200-00001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37</xdr:row>
          <xdr:rowOff>30480</xdr:rowOff>
        </xdr:from>
        <xdr:to>
          <xdr:col>11</xdr:col>
          <xdr:colOff>152400</xdr:colOff>
          <xdr:row>38</xdr:row>
          <xdr:rowOff>0</xdr:rowOff>
        </xdr:to>
        <xdr:sp macro="" textlink="">
          <xdr:nvSpPr>
            <xdr:cNvPr id="65553" name="Check Box 17" hidden="1">
              <a:extLst>
                <a:ext uri="{63B3BB69-23CF-44E3-9099-C40C66FF867C}">
                  <a14:compatExt spid="_x0000_s65553"/>
                </a:ext>
                <a:ext uri="{FF2B5EF4-FFF2-40B4-BE49-F238E27FC236}">
                  <a16:creationId xmlns:a16="http://schemas.microsoft.com/office/drawing/2014/main" id="{00000000-0008-0000-0200-00001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6</xdr:col>
          <xdr:colOff>1394460</xdr:colOff>
          <xdr:row>39</xdr:row>
          <xdr:rowOff>0</xdr:rowOff>
        </xdr:to>
        <xdr:sp macro="" textlink="">
          <xdr:nvSpPr>
            <xdr:cNvPr id="65554" name="Check Box 18" hidden="1">
              <a:extLst>
                <a:ext uri="{63B3BB69-23CF-44E3-9099-C40C66FF867C}">
                  <a14:compatExt spid="_x0000_s65554"/>
                </a:ext>
                <a:ext uri="{FF2B5EF4-FFF2-40B4-BE49-F238E27FC236}">
                  <a16:creationId xmlns:a16="http://schemas.microsoft.com/office/drawing/2014/main" id="{00000000-0008-0000-0200-00001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65555" name="Check Box 19" hidden="1">
              <a:extLst>
                <a:ext uri="{63B3BB69-23CF-44E3-9099-C40C66FF867C}">
                  <a14:compatExt spid="_x0000_s65555"/>
                </a:ext>
                <a:ext uri="{FF2B5EF4-FFF2-40B4-BE49-F238E27FC236}">
                  <a16:creationId xmlns:a16="http://schemas.microsoft.com/office/drawing/2014/main" id="{00000000-0008-0000-0200-00001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3</xdr:col>
          <xdr:colOff>632460</xdr:colOff>
          <xdr:row>33</xdr:row>
          <xdr:rowOff>30480</xdr:rowOff>
        </xdr:to>
        <xdr:sp macro="" textlink="">
          <xdr:nvSpPr>
            <xdr:cNvPr id="65556" name="Check Box 20" hidden="1">
              <a:extLst>
                <a:ext uri="{63B3BB69-23CF-44E3-9099-C40C66FF867C}">
                  <a14:compatExt spid="_x0000_s65556"/>
                </a:ext>
                <a:ext uri="{FF2B5EF4-FFF2-40B4-BE49-F238E27FC236}">
                  <a16:creationId xmlns:a16="http://schemas.microsoft.com/office/drawing/2014/main" id="{00000000-0008-0000-0200-00001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3</xdr:col>
          <xdr:colOff>2004060</xdr:colOff>
          <xdr:row>34</xdr:row>
          <xdr:rowOff>160020</xdr:rowOff>
        </xdr:to>
        <xdr:sp macro="" textlink="">
          <xdr:nvSpPr>
            <xdr:cNvPr id="65557" name="Check Box 21" hidden="1">
              <a:extLst>
                <a:ext uri="{63B3BB69-23CF-44E3-9099-C40C66FF867C}">
                  <a14:compatExt spid="_x0000_s65557"/>
                </a:ext>
                <a:ext uri="{FF2B5EF4-FFF2-40B4-BE49-F238E27FC236}">
                  <a16:creationId xmlns:a16="http://schemas.microsoft.com/office/drawing/2014/main" id="{00000000-0008-0000-0200-00001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3</xdr:col>
          <xdr:colOff>2956560</xdr:colOff>
          <xdr:row>34</xdr:row>
          <xdr:rowOff>7620</xdr:rowOff>
        </xdr:to>
        <xdr:sp macro="" textlink="">
          <xdr:nvSpPr>
            <xdr:cNvPr id="65558" name="Check Box 22" hidden="1">
              <a:extLst>
                <a:ext uri="{63B3BB69-23CF-44E3-9099-C40C66FF867C}">
                  <a14:compatExt spid="_x0000_s65558"/>
                </a:ext>
                <a:ext uri="{FF2B5EF4-FFF2-40B4-BE49-F238E27FC236}">
                  <a16:creationId xmlns:a16="http://schemas.microsoft.com/office/drawing/2014/main" id="{00000000-0008-0000-0200-00001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6</xdr:col>
          <xdr:colOff>1394460</xdr:colOff>
          <xdr:row>39</xdr:row>
          <xdr:rowOff>0</xdr:rowOff>
        </xdr:to>
        <xdr:sp macro="" textlink="">
          <xdr:nvSpPr>
            <xdr:cNvPr id="65559" name="Check Box 23" hidden="1">
              <a:extLst>
                <a:ext uri="{63B3BB69-23CF-44E3-9099-C40C66FF867C}">
                  <a14:compatExt spid="_x0000_s65559"/>
                </a:ext>
                <a:ext uri="{FF2B5EF4-FFF2-40B4-BE49-F238E27FC236}">
                  <a16:creationId xmlns:a16="http://schemas.microsoft.com/office/drawing/2014/main" id="{00000000-0008-0000-0200-00001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65560" name="Check Box 24" hidden="1">
              <a:extLst>
                <a:ext uri="{63B3BB69-23CF-44E3-9099-C40C66FF867C}">
                  <a14:compatExt spid="_x0000_s65560"/>
                </a:ext>
                <a:ext uri="{FF2B5EF4-FFF2-40B4-BE49-F238E27FC236}">
                  <a16:creationId xmlns:a16="http://schemas.microsoft.com/office/drawing/2014/main" id="{00000000-0008-0000-0200-00001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34</xdr:row>
          <xdr:rowOff>7620</xdr:rowOff>
        </xdr:from>
        <xdr:to>
          <xdr:col>3</xdr:col>
          <xdr:colOff>2293620</xdr:colOff>
          <xdr:row>35</xdr:row>
          <xdr:rowOff>38100</xdr:rowOff>
        </xdr:to>
        <xdr:sp macro="" textlink="">
          <xdr:nvSpPr>
            <xdr:cNvPr id="65561" name="Check Box 25" hidden="1">
              <a:extLst>
                <a:ext uri="{63B3BB69-23CF-44E3-9099-C40C66FF867C}">
                  <a14:compatExt spid="_x0000_s65561"/>
                </a:ext>
                <a:ext uri="{FF2B5EF4-FFF2-40B4-BE49-F238E27FC236}">
                  <a16:creationId xmlns:a16="http://schemas.microsoft.com/office/drawing/2014/main" id="{00000000-0008-0000-01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Կորոնավիրուսի համավարակի հետևանքների հաղթահարում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35</xdr:row>
          <xdr:rowOff>0</xdr:rowOff>
        </xdr:from>
        <xdr:to>
          <xdr:col>3</xdr:col>
          <xdr:colOff>693420</xdr:colOff>
          <xdr:row>36</xdr:row>
          <xdr:rowOff>7620</xdr:rowOff>
        </xdr:to>
        <xdr:sp macro="" textlink="">
          <xdr:nvSpPr>
            <xdr:cNvPr id="65562" name="Check Box 26" hidden="1">
              <a:extLst>
                <a:ext uri="{63B3BB69-23CF-44E3-9099-C40C66FF867C}">
                  <a14:compatExt spid="_x0000_s65562"/>
                </a:ext>
                <a:ext uri="{FF2B5EF4-FFF2-40B4-BE49-F238E27FC236}">
                  <a16:creationId xmlns:a16="http://schemas.microsoft.com/office/drawing/2014/main" id="{00000000-0008-0000-01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37</xdr:row>
          <xdr:rowOff>0</xdr:rowOff>
        </xdr:from>
        <xdr:to>
          <xdr:col>3</xdr:col>
          <xdr:colOff>1950720</xdr:colOff>
          <xdr:row>37</xdr:row>
          <xdr:rowOff>160020</xdr:rowOff>
        </xdr:to>
        <xdr:sp macro="" textlink="">
          <xdr:nvSpPr>
            <xdr:cNvPr id="65563" name="Check Box 27" hidden="1">
              <a:extLst>
                <a:ext uri="{63B3BB69-23CF-44E3-9099-C40C66FF867C}">
                  <a14:compatExt spid="_x0000_s65563"/>
                </a:ext>
                <a:ext uri="{FF2B5EF4-FFF2-40B4-BE49-F238E27FC236}">
                  <a16:creationId xmlns:a16="http://schemas.microsoft.com/office/drawing/2014/main" id="{00000000-0008-0000-01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35</xdr:row>
          <xdr:rowOff>182880</xdr:rowOff>
        </xdr:from>
        <xdr:to>
          <xdr:col>3</xdr:col>
          <xdr:colOff>2865120</xdr:colOff>
          <xdr:row>37</xdr:row>
          <xdr:rowOff>22860</xdr:rowOff>
        </xdr:to>
        <xdr:sp macro="" textlink="">
          <xdr:nvSpPr>
            <xdr:cNvPr id="65564" name="Check Box 28" hidden="1">
              <a:extLst>
                <a:ext uri="{63B3BB69-23CF-44E3-9099-C40C66FF867C}">
                  <a14:compatExt spid="_x0000_s65564"/>
                </a:ext>
                <a:ext uri="{FF2B5EF4-FFF2-40B4-BE49-F238E27FC236}">
                  <a16:creationId xmlns:a16="http://schemas.microsoft.com/office/drawing/2014/main" id="{00000000-0008-0000-01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39</xdr:row>
          <xdr:rowOff>30480</xdr:rowOff>
        </xdr:from>
        <xdr:to>
          <xdr:col>10</xdr:col>
          <xdr:colOff>525780</xdr:colOff>
          <xdr:row>39</xdr:row>
          <xdr:rowOff>160020</xdr:rowOff>
        </xdr:to>
        <xdr:sp macro="" textlink="">
          <xdr:nvSpPr>
            <xdr:cNvPr id="65565" name="Check Box 29" hidden="1">
              <a:extLst>
                <a:ext uri="{63B3BB69-23CF-44E3-9099-C40C66FF867C}">
                  <a14:compatExt spid="_x0000_s65565"/>
                </a:ext>
                <a:ext uri="{FF2B5EF4-FFF2-40B4-BE49-F238E27FC236}">
                  <a16:creationId xmlns:a16="http://schemas.microsoft.com/office/drawing/2014/main" id="{00000000-0008-0000-01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40</xdr:row>
          <xdr:rowOff>30480</xdr:rowOff>
        </xdr:from>
        <xdr:to>
          <xdr:col>11</xdr:col>
          <xdr:colOff>152400</xdr:colOff>
          <xdr:row>41</xdr:row>
          <xdr:rowOff>0</xdr:rowOff>
        </xdr:to>
        <xdr:sp macro="" textlink="">
          <xdr:nvSpPr>
            <xdr:cNvPr id="65566" name="Check Box 30" hidden="1">
              <a:extLst>
                <a:ext uri="{63B3BB69-23CF-44E3-9099-C40C66FF867C}">
                  <a14:compatExt spid="_x0000_s65566"/>
                </a:ext>
                <a:ext uri="{FF2B5EF4-FFF2-40B4-BE49-F238E27FC236}">
                  <a16:creationId xmlns:a16="http://schemas.microsoft.com/office/drawing/2014/main" id="{00000000-0008-0000-01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41</xdr:row>
          <xdr:rowOff>7620</xdr:rowOff>
        </xdr:from>
        <xdr:to>
          <xdr:col>6</xdr:col>
          <xdr:colOff>1447800</xdr:colOff>
          <xdr:row>42</xdr:row>
          <xdr:rowOff>0</xdr:rowOff>
        </xdr:to>
        <xdr:sp macro="" textlink="">
          <xdr:nvSpPr>
            <xdr:cNvPr id="65567" name="Check Box 31" hidden="1">
              <a:extLst>
                <a:ext uri="{63B3BB69-23CF-44E3-9099-C40C66FF867C}">
                  <a14:compatExt spid="_x0000_s65567"/>
                </a:ext>
                <a:ext uri="{FF2B5EF4-FFF2-40B4-BE49-F238E27FC236}">
                  <a16:creationId xmlns:a16="http://schemas.microsoft.com/office/drawing/2014/main" id="{00000000-0008-0000-01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65568" name="Check Box 32" hidden="1">
              <a:extLst>
                <a:ext uri="{63B3BB69-23CF-44E3-9099-C40C66FF867C}">
                  <a14:compatExt spid="_x0000_s65568"/>
                </a:ext>
                <a:ext uri="{FF2B5EF4-FFF2-40B4-BE49-F238E27FC236}">
                  <a16:creationId xmlns:a16="http://schemas.microsoft.com/office/drawing/2014/main" id="{00000000-0008-0000-01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5</xdr:col>
          <xdr:colOff>68580</xdr:colOff>
          <xdr:row>33</xdr:row>
          <xdr:rowOff>7620</xdr:rowOff>
        </xdr:to>
        <xdr:sp macro="" textlink="">
          <xdr:nvSpPr>
            <xdr:cNvPr id="64513" name="Check Box 1" hidden="1">
              <a:extLst>
                <a:ext uri="{63B3BB69-23CF-44E3-9099-C40C66FF867C}">
                  <a14:compatExt spid="_x0000_s64513"/>
                </a:ext>
                <a:ext uri="{FF2B5EF4-FFF2-40B4-BE49-F238E27FC236}">
                  <a16:creationId xmlns:a16="http://schemas.microsoft.com/office/drawing/2014/main" id="{00000000-0008-0000-02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6</xdr:col>
          <xdr:colOff>426720</xdr:colOff>
          <xdr:row>34</xdr:row>
          <xdr:rowOff>160020</xdr:rowOff>
        </xdr:to>
        <xdr:sp macro="" textlink="">
          <xdr:nvSpPr>
            <xdr:cNvPr id="64514" name="Check Box 2" hidden="1">
              <a:extLst>
                <a:ext uri="{63B3BB69-23CF-44E3-9099-C40C66FF867C}">
                  <a14:compatExt spid="_x0000_s64514"/>
                </a:ext>
                <a:ext uri="{FF2B5EF4-FFF2-40B4-BE49-F238E27FC236}">
                  <a16:creationId xmlns:a16="http://schemas.microsoft.com/office/drawing/2014/main" id="{00000000-0008-0000-02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6</xdr:col>
          <xdr:colOff>1394460</xdr:colOff>
          <xdr:row>33</xdr:row>
          <xdr:rowOff>182880</xdr:rowOff>
        </xdr:to>
        <xdr:sp macro="" textlink="">
          <xdr:nvSpPr>
            <xdr:cNvPr id="64515" name="Check Box 3" hidden="1">
              <a:extLst>
                <a:ext uri="{63B3BB69-23CF-44E3-9099-C40C66FF867C}">
                  <a14:compatExt spid="_x0000_s64515"/>
                </a:ext>
                <a:ext uri="{FF2B5EF4-FFF2-40B4-BE49-F238E27FC236}">
                  <a16:creationId xmlns:a16="http://schemas.microsoft.com/office/drawing/2014/main" id="{00000000-0008-0000-0200-00000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30480</xdr:rowOff>
        </xdr:from>
        <xdr:to>
          <xdr:col>20</xdr:col>
          <xdr:colOff>106680</xdr:colOff>
          <xdr:row>36</xdr:row>
          <xdr:rowOff>160020</xdr:rowOff>
        </xdr:to>
        <xdr:sp macro="" textlink="">
          <xdr:nvSpPr>
            <xdr:cNvPr id="64516" name="Check Box 4" hidden="1">
              <a:extLst>
                <a:ext uri="{63B3BB69-23CF-44E3-9099-C40C66FF867C}">
                  <a14:compatExt spid="_x0000_s64516"/>
                </a:ext>
                <a:ext uri="{FF2B5EF4-FFF2-40B4-BE49-F238E27FC236}">
                  <a16:creationId xmlns:a16="http://schemas.microsoft.com/office/drawing/2014/main" id="{00000000-0008-0000-0200-00000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37</xdr:row>
          <xdr:rowOff>30480</xdr:rowOff>
        </xdr:from>
        <xdr:to>
          <xdr:col>20</xdr:col>
          <xdr:colOff>495300</xdr:colOff>
          <xdr:row>38</xdr:row>
          <xdr:rowOff>0</xdr:rowOff>
        </xdr:to>
        <xdr:sp macro="" textlink="">
          <xdr:nvSpPr>
            <xdr:cNvPr id="64517" name="Check Box 5" hidden="1">
              <a:extLst>
                <a:ext uri="{63B3BB69-23CF-44E3-9099-C40C66FF867C}">
                  <a14:compatExt spid="_x0000_s64517"/>
                </a:ext>
                <a:ext uri="{FF2B5EF4-FFF2-40B4-BE49-F238E27FC236}">
                  <a16:creationId xmlns:a16="http://schemas.microsoft.com/office/drawing/2014/main" id="{00000000-0008-0000-0200-00000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18</xdr:col>
          <xdr:colOff>411480</xdr:colOff>
          <xdr:row>39</xdr:row>
          <xdr:rowOff>0</xdr:rowOff>
        </xdr:to>
        <xdr:sp macro="" textlink="">
          <xdr:nvSpPr>
            <xdr:cNvPr id="64518" name="Check Box 6" hidden="1">
              <a:extLst>
                <a:ext uri="{63B3BB69-23CF-44E3-9099-C40C66FF867C}">
                  <a14:compatExt spid="_x0000_s64518"/>
                </a:ext>
                <a:ext uri="{FF2B5EF4-FFF2-40B4-BE49-F238E27FC236}">
                  <a16:creationId xmlns:a16="http://schemas.microsoft.com/office/drawing/2014/main" id="{00000000-0008-0000-0200-00000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64519" name="Check Box 7" hidden="1">
              <a:extLst>
                <a:ext uri="{63B3BB69-23CF-44E3-9099-C40C66FF867C}">
                  <a14:compatExt spid="_x0000_s64519"/>
                </a:ext>
                <a:ext uri="{FF2B5EF4-FFF2-40B4-BE49-F238E27FC236}">
                  <a16:creationId xmlns:a16="http://schemas.microsoft.com/office/drawing/2014/main" id="{00000000-0008-0000-0200-00000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5</xdr:col>
          <xdr:colOff>68580</xdr:colOff>
          <xdr:row>33</xdr:row>
          <xdr:rowOff>7620</xdr:rowOff>
        </xdr:to>
        <xdr:sp macro="" textlink="">
          <xdr:nvSpPr>
            <xdr:cNvPr id="64520" name="Check Box 8" hidden="1">
              <a:extLst>
                <a:ext uri="{63B3BB69-23CF-44E3-9099-C40C66FF867C}">
                  <a14:compatExt spid="_x0000_s64520"/>
                </a:ext>
                <a:ext uri="{FF2B5EF4-FFF2-40B4-BE49-F238E27FC236}">
                  <a16:creationId xmlns:a16="http://schemas.microsoft.com/office/drawing/2014/main" id="{00000000-0008-0000-0200-00000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6</xdr:col>
          <xdr:colOff>426720</xdr:colOff>
          <xdr:row>34</xdr:row>
          <xdr:rowOff>160020</xdr:rowOff>
        </xdr:to>
        <xdr:sp macro="" textlink="">
          <xdr:nvSpPr>
            <xdr:cNvPr id="64521" name="Check Box 9" hidden="1">
              <a:extLst>
                <a:ext uri="{63B3BB69-23CF-44E3-9099-C40C66FF867C}">
                  <a14:compatExt spid="_x0000_s64521"/>
                </a:ext>
                <a:ext uri="{FF2B5EF4-FFF2-40B4-BE49-F238E27FC236}">
                  <a16:creationId xmlns:a16="http://schemas.microsoft.com/office/drawing/2014/main" id="{00000000-0008-0000-0200-00000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6</xdr:col>
          <xdr:colOff>1394460</xdr:colOff>
          <xdr:row>33</xdr:row>
          <xdr:rowOff>182880</xdr:rowOff>
        </xdr:to>
        <xdr:sp macro="" textlink="">
          <xdr:nvSpPr>
            <xdr:cNvPr id="64522" name="Check Box 10" hidden="1">
              <a:extLst>
                <a:ext uri="{63B3BB69-23CF-44E3-9099-C40C66FF867C}">
                  <a14:compatExt spid="_x0000_s64522"/>
                </a:ext>
                <a:ext uri="{FF2B5EF4-FFF2-40B4-BE49-F238E27FC236}">
                  <a16:creationId xmlns:a16="http://schemas.microsoft.com/office/drawing/2014/main" id="{00000000-0008-0000-0200-00000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18</xdr:col>
          <xdr:colOff>411480</xdr:colOff>
          <xdr:row>39</xdr:row>
          <xdr:rowOff>0</xdr:rowOff>
        </xdr:to>
        <xdr:sp macro="" textlink="">
          <xdr:nvSpPr>
            <xdr:cNvPr id="64523" name="Check Box 11" hidden="1">
              <a:extLst>
                <a:ext uri="{63B3BB69-23CF-44E3-9099-C40C66FF867C}">
                  <a14:compatExt spid="_x0000_s64523"/>
                </a:ext>
                <a:ext uri="{FF2B5EF4-FFF2-40B4-BE49-F238E27FC236}">
                  <a16:creationId xmlns:a16="http://schemas.microsoft.com/office/drawing/2014/main" id="{00000000-0008-0000-0200-00000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64524" name="Check Box 12" hidden="1">
              <a:extLst>
                <a:ext uri="{63B3BB69-23CF-44E3-9099-C40C66FF867C}">
                  <a14:compatExt spid="_x0000_s64524"/>
                </a:ext>
                <a:ext uri="{FF2B5EF4-FFF2-40B4-BE49-F238E27FC236}">
                  <a16:creationId xmlns:a16="http://schemas.microsoft.com/office/drawing/2014/main" id="{00000000-0008-0000-0200-00000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5</xdr:col>
          <xdr:colOff>68580</xdr:colOff>
          <xdr:row>33</xdr:row>
          <xdr:rowOff>7620</xdr:rowOff>
        </xdr:to>
        <xdr:sp macro="" textlink="">
          <xdr:nvSpPr>
            <xdr:cNvPr id="64525" name="Check Box 13" hidden="1">
              <a:extLst>
                <a:ext uri="{63B3BB69-23CF-44E3-9099-C40C66FF867C}">
                  <a14:compatExt spid="_x0000_s64525"/>
                </a:ext>
                <a:ext uri="{FF2B5EF4-FFF2-40B4-BE49-F238E27FC236}">
                  <a16:creationId xmlns:a16="http://schemas.microsoft.com/office/drawing/2014/main" id="{00000000-0008-0000-0200-00000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6</xdr:col>
          <xdr:colOff>426720</xdr:colOff>
          <xdr:row>34</xdr:row>
          <xdr:rowOff>160020</xdr:rowOff>
        </xdr:to>
        <xdr:sp macro="" textlink="">
          <xdr:nvSpPr>
            <xdr:cNvPr id="64526" name="Check Box 14" hidden="1">
              <a:extLst>
                <a:ext uri="{63B3BB69-23CF-44E3-9099-C40C66FF867C}">
                  <a14:compatExt spid="_x0000_s64526"/>
                </a:ext>
                <a:ext uri="{FF2B5EF4-FFF2-40B4-BE49-F238E27FC236}">
                  <a16:creationId xmlns:a16="http://schemas.microsoft.com/office/drawing/2014/main" id="{00000000-0008-0000-0200-00000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6</xdr:col>
          <xdr:colOff>1394460</xdr:colOff>
          <xdr:row>33</xdr:row>
          <xdr:rowOff>182880</xdr:rowOff>
        </xdr:to>
        <xdr:sp macro="" textlink="">
          <xdr:nvSpPr>
            <xdr:cNvPr id="64527" name="Check Box 15" hidden="1">
              <a:extLst>
                <a:ext uri="{63B3BB69-23CF-44E3-9099-C40C66FF867C}">
                  <a14:compatExt spid="_x0000_s64527"/>
                </a:ext>
                <a:ext uri="{FF2B5EF4-FFF2-40B4-BE49-F238E27FC236}">
                  <a16:creationId xmlns:a16="http://schemas.microsoft.com/office/drawing/2014/main" id="{00000000-0008-0000-0200-00000F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30480</xdr:rowOff>
        </xdr:from>
        <xdr:to>
          <xdr:col>20</xdr:col>
          <xdr:colOff>106680</xdr:colOff>
          <xdr:row>36</xdr:row>
          <xdr:rowOff>160020</xdr:rowOff>
        </xdr:to>
        <xdr:sp macro="" textlink="">
          <xdr:nvSpPr>
            <xdr:cNvPr id="64528" name="Check Box 16" hidden="1">
              <a:extLst>
                <a:ext uri="{63B3BB69-23CF-44E3-9099-C40C66FF867C}">
                  <a14:compatExt spid="_x0000_s64528"/>
                </a:ext>
                <a:ext uri="{FF2B5EF4-FFF2-40B4-BE49-F238E27FC236}">
                  <a16:creationId xmlns:a16="http://schemas.microsoft.com/office/drawing/2014/main" id="{00000000-0008-0000-0200-00001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37</xdr:row>
          <xdr:rowOff>30480</xdr:rowOff>
        </xdr:from>
        <xdr:to>
          <xdr:col>20</xdr:col>
          <xdr:colOff>495300</xdr:colOff>
          <xdr:row>38</xdr:row>
          <xdr:rowOff>0</xdr:rowOff>
        </xdr:to>
        <xdr:sp macro="" textlink="">
          <xdr:nvSpPr>
            <xdr:cNvPr id="64529" name="Check Box 17" hidden="1">
              <a:extLst>
                <a:ext uri="{63B3BB69-23CF-44E3-9099-C40C66FF867C}">
                  <a14:compatExt spid="_x0000_s64529"/>
                </a:ext>
                <a:ext uri="{FF2B5EF4-FFF2-40B4-BE49-F238E27FC236}">
                  <a16:creationId xmlns:a16="http://schemas.microsoft.com/office/drawing/2014/main" id="{00000000-0008-0000-0200-00001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18</xdr:col>
          <xdr:colOff>411480</xdr:colOff>
          <xdr:row>39</xdr:row>
          <xdr:rowOff>0</xdr:rowOff>
        </xdr:to>
        <xdr:sp macro="" textlink="">
          <xdr:nvSpPr>
            <xdr:cNvPr id="64530" name="Check Box 18" hidden="1">
              <a:extLst>
                <a:ext uri="{63B3BB69-23CF-44E3-9099-C40C66FF867C}">
                  <a14:compatExt spid="_x0000_s64530"/>
                </a:ext>
                <a:ext uri="{FF2B5EF4-FFF2-40B4-BE49-F238E27FC236}">
                  <a16:creationId xmlns:a16="http://schemas.microsoft.com/office/drawing/2014/main" id="{00000000-0008-0000-0200-00001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64531" name="Check Box 19" hidden="1">
              <a:extLst>
                <a:ext uri="{63B3BB69-23CF-44E3-9099-C40C66FF867C}">
                  <a14:compatExt spid="_x0000_s64531"/>
                </a:ext>
                <a:ext uri="{FF2B5EF4-FFF2-40B4-BE49-F238E27FC236}">
                  <a16:creationId xmlns:a16="http://schemas.microsoft.com/office/drawing/2014/main" id="{00000000-0008-0000-0200-00001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5</xdr:col>
          <xdr:colOff>68580</xdr:colOff>
          <xdr:row>33</xdr:row>
          <xdr:rowOff>7620</xdr:rowOff>
        </xdr:to>
        <xdr:sp macro="" textlink="">
          <xdr:nvSpPr>
            <xdr:cNvPr id="64532" name="Check Box 20" hidden="1">
              <a:extLst>
                <a:ext uri="{63B3BB69-23CF-44E3-9099-C40C66FF867C}">
                  <a14:compatExt spid="_x0000_s64532"/>
                </a:ext>
                <a:ext uri="{FF2B5EF4-FFF2-40B4-BE49-F238E27FC236}">
                  <a16:creationId xmlns:a16="http://schemas.microsoft.com/office/drawing/2014/main" id="{00000000-0008-0000-0200-00001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6</xdr:col>
          <xdr:colOff>426720</xdr:colOff>
          <xdr:row>34</xdr:row>
          <xdr:rowOff>160020</xdr:rowOff>
        </xdr:to>
        <xdr:sp macro="" textlink="">
          <xdr:nvSpPr>
            <xdr:cNvPr id="64533" name="Check Box 21" hidden="1">
              <a:extLst>
                <a:ext uri="{63B3BB69-23CF-44E3-9099-C40C66FF867C}">
                  <a14:compatExt spid="_x0000_s64533"/>
                </a:ext>
                <a:ext uri="{FF2B5EF4-FFF2-40B4-BE49-F238E27FC236}">
                  <a16:creationId xmlns:a16="http://schemas.microsoft.com/office/drawing/2014/main" id="{00000000-0008-0000-0200-00001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6</xdr:col>
          <xdr:colOff>1394460</xdr:colOff>
          <xdr:row>33</xdr:row>
          <xdr:rowOff>182880</xdr:rowOff>
        </xdr:to>
        <xdr:sp macro="" textlink="">
          <xdr:nvSpPr>
            <xdr:cNvPr id="64534" name="Check Box 22" hidden="1">
              <a:extLst>
                <a:ext uri="{63B3BB69-23CF-44E3-9099-C40C66FF867C}">
                  <a14:compatExt spid="_x0000_s64534"/>
                </a:ext>
                <a:ext uri="{FF2B5EF4-FFF2-40B4-BE49-F238E27FC236}">
                  <a16:creationId xmlns:a16="http://schemas.microsoft.com/office/drawing/2014/main" id="{00000000-0008-0000-0200-00001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18</xdr:col>
          <xdr:colOff>411480</xdr:colOff>
          <xdr:row>39</xdr:row>
          <xdr:rowOff>0</xdr:rowOff>
        </xdr:to>
        <xdr:sp macro="" textlink="">
          <xdr:nvSpPr>
            <xdr:cNvPr id="64535" name="Check Box 23" hidden="1">
              <a:extLst>
                <a:ext uri="{63B3BB69-23CF-44E3-9099-C40C66FF867C}">
                  <a14:compatExt spid="_x0000_s64535"/>
                </a:ext>
                <a:ext uri="{FF2B5EF4-FFF2-40B4-BE49-F238E27FC236}">
                  <a16:creationId xmlns:a16="http://schemas.microsoft.com/office/drawing/2014/main" id="{00000000-0008-0000-0200-00001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64536" name="Check Box 24" hidden="1">
              <a:extLst>
                <a:ext uri="{63B3BB69-23CF-44E3-9099-C40C66FF867C}">
                  <a14:compatExt spid="_x0000_s64536"/>
                </a:ext>
                <a:ext uri="{FF2B5EF4-FFF2-40B4-BE49-F238E27FC236}">
                  <a16:creationId xmlns:a16="http://schemas.microsoft.com/office/drawing/2014/main" id="{00000000-0008-0000-0200-00001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35</xdr:row>
          <xdr:rowOff>7620</xdr:rowOff>
        </xdr:from>
        <xdr:to>
          <xdr:col>6</xdr:col>
          <xdr:colOff>784860</xdr:colOff>
          <xdr:row>36</xdr:row>
          <xdr:rowOff>38100</xdr:rowOff>
        </xdr:to>
        <xdr:sp macro="" textlink="">
          <xdr:nvSpPr>
            <xdr:cNvPr id="64538" name="Check Box 26" hidden="1">
              <a:extLst>
                <a:ext uri="{63B3BB69-23CF-44E3-9099-C40C66FF867C}">
                  <a14:compatExt spid="_x0000_s64538"/>
                </a:ext>
                <a:ext uri="{FF2B5EF4-FFF2-40B4-BE49-F238E27FC236}">
                  <a16:creationId xmlns:a16="http://schemas.microsoft.com/office/drawing/2014/main" id="{00000000-0008-0000-01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Կորոնավիրուսի համավարակի հետևանքների հաղթահարում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36</xdr:row>
          <xdr:rowOff>0</xdr:rowOff>
        </xdr:from>
        <xdr:to>
          <xdr:col>5</xdr:col>
          <xdr:colOff>144780</xdr:colOff>
          <xdr:row>37</xdr:row>
          <xdr:rowOff>30480</xdr:rowOff>
        </xdr:to>
        <xdr:sp macro="" textlink="">
          <xdr:nvSpPr>
            <xdr:cNvPr id="64539" name="Check Box 27" hidden="1">
              <a:extLst>
                <a:ext uri="{63B3BB69-23CF-44E3-9099-C40C66FF867C}">
                  <a14:compatExt spid="_x0000_s64539"/>
                </a:ext>
                <a:ext uri="{FF2B5EF4-FFF2-40B4-BE49-F238E27FC236}">
                  <a16:creationId xmlns:a16="http://schemas.microsoft.com/office/drawing/2014/main" id="{00000000-0008-0000-01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38</xdr:row>
          <xdr:rowOff>0</xdr:rowOff>
        </xdr:from>
        <xdr:to>
          <xdr:col>6</xdr:col>
          <xdr:colOff>426720</xdr:colOff>
          <xdr:row>38</xdr:row>
          <xdr:rowOff>160020</xdr:rowOff>
        </xdr:to>
        <xdr:sp macro="" textlink="">
          <xdr:nvSpPr>
            <xdr:cNvPr id="64540" name="Check Box 28" hidden="1">
              <a:extLst>
                <a:ext uri="{63B3BB69-23CF-44E3-9099-C40C66FF867C}">
                  <a14:compatExt spid="_x0000_s64540"/>
                </a:ext>
                <a:ext uri="{FF2B5EF4-FFF2-40B4-BE49-F238E27FC236}">
                  <a16:creationId xmlns:a16="http://schemas.microsoft.com/office/drawing/2014/main" id="{00000000-0008-0000-01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36</xdr:row>
          <xdr:rowOff>182880</xdr:rowOff>
        </xdr:from>
        <xdr:to>
          <xdr:col>6</xdr:col>
          <xdr:colOff>1341120</xdr:colOff>
          <xdr:row>38</xdr:row>
          <xdr:rowOff>0</xdr:rowOff>
        </xdr:to>
        <xdr:sp macro="" textlink="">
          <xdr:nvSpPr>
            <xdr:cNvPr id="64541" name="Check Box 29" hidden="1">
              <a:extLst>
                <a:ext uri="{63B3BB69-23CF-44E3-9099-C40C66FF867C}">
                  <a14:compatExt spid="_x0000_s64541"/>
                </a:ext>
                <a:ext uri="{FF2B5EF4-FFF2-40B4-BE49-F238E27FC236}">
                  <a16:creationId xmlns:a16="http://schemas.microsoft.com/office/drawing/2014/main" id="{00000000-0008-0000-01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40</xdr:row>
          <xdr:rowOff>30480</xdr:rowOff>
        </xdr:from>
        <xdr:to>
          <xdr:col>20</xdr:col>
          <xdr:colOff>83820</xdr:colOff>
          <xdr:row>40</xdr:row>
          <xdr:rowOff>160020</xdr:rowOff>
        </xdr:to>
        <xdr:sp macro="" textlink="">
          <xdr:nvSpPr>
            <xdr:cNvPr id="64542" name="Check Box 30" hidden="1">
              <a:extLst>
                <a:ext uri="{63B3BB69-23CF-44E3-9099-C40C66FF867C}">
                  <a14:compatExt spid="_x0000_s64542"/>
                </a:ext>
                <a:ext uri="{FF2B5EF4-FFF2-40B4-BE49-F238E27FC236}">
                  <a16:creationId xmlns:a16="http://schemas.microsoft.com/office/drawing/2014/main" id="{00000000-0008-0000-01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41</xdr:row>
          <xdr:rowOff>30480</xdr:rowOff>
        </xdr:from>
        <xdr:to>
          <xdr:col>20</xdr:col>
          <xdr:colOff>457200</xdr:colOff>
          <xdr:row>42</xdr:row>
          <xdr:rowOff>0</xdr:rowOff>
        </xdr:to>
        <xdr:sp macro="" textlink="">
          <xdr:nvSpPr>
            <xdr:cNvPr id="64543" name="Check Box 31" hidden="1">
              <a:extLst>
                <a:ext uri="{63B3BB69-23CF-44E3-9099-C40C66FF867C}">
                  <a14:compatExt spid="_x0000_s64543"/>
                </a:ext>
                <a:ext uri="{FF2B5EF4-FFF2-40B4-BE49-F238E27FC236}">
                  <a16:creationId xmlns:a16="http://schemas.microsoft.com/office/drawing/2014/main" id="{00000000-0008-0000-01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42</xdr:row>
          <xdr:rowOff>7620</xdr:rowOff>
        </xdr:from>
        <xdr:to>
          <xdr:col>18</xdr:col>
          <xdr:colOff>388620</xdr:colOff>
          <xdr:row>43</xdr:row>
          <xdr:rowOff>0</xdr:rowOff>
        </xdr:to>
        <xdr:sp macro="" textlink="">
          <xdr:nvSpPr>
            <xdr:cNvPr id="64544" name="Check Box 32" hidden="1">
              <a:extLst>
                <a:ext uri="{63B3BB69-23CF-44E3-9099-C40C66FF867C}">
                  <a14:compatExt spid="_x0000_s64544"/>
                </a:ext>
                <a:ext uri="{FF2B5EF4-FFF2-40B4-BE49-F238E27FC236}">
                  <a16:creationId xmlns:a16="http://schemas.microsoft.com/office/drawing/2014/main" id="{00000000-0008-0000-01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1</xdr:col>
          <xdr:colOff>2933700</xdr:colOff>
          <xdr:row>13</xdr:row>
          <xdr:rowOff>7620</xdr:rowOff>
        </xdr:to>
        <xdr:sp macro="" textlink="">
          <xdr:nvSpPr>
            <xdr:cNvPr id="64545" name="Check Box 33" hidden="1">
              <a:extLst>
                <a:ext uri="{63B3BB69-23CF-44E3-9099-C40C66FF867C}">
                  <a14:compatExt spid="_x0000_s64545"/>
                </a:ext>
                <a:ext uri="{FF2B5EF4-FFF2-40B4-BE49-F238E27FC236}">
                  <a16:creationId xmlns:a16="http://schemas.microsoft.com/office/drawing/2014/main" id="{00000000-0008-0000-0100-00000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3</xdr:col>
          <xdr:colOff>426720</xdr:colOff>
          <xdr:row>33</xdr:row>
          <xdr:rowOff>7620</xdr:rowOff>
        </xdr:to>
        <xdr:sp macro="" textlink="">
          <xdr:nvSpPr>
            <xdr:cNvPr id="66561" name="Check Box 1" hidden="1">
              <a:extLst>
                <a:ext uri="{63B3BB69-23CF-44E3-9099-C40C66FF867C}">
                  <a14:compatExt spid="_x0000_s66561"/>
                </a:ext>
                <a:ext uri="{FF2B5EF4-FFF2-40B4-BE49-F238E27FC236}">
                  <a16:creationId xmlns:a16="http://schemas.microsoft.com/office/drawing/2014/main" id="{00000000-0008-0000-02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4</xdr:col>
          <xdr:colOff>655320</xdr:colOff>
          <xdr:row>34</xdr:row>
          <xdr:rowOff>160020</xdr:rowOff>
        </xdr:to>
        <xdr:sp macro="" textlink="">
          <xdr:nvSpPr>
            <xdr:cNvPr id="66562" name="Check Box 2" hidden="1">
              <a:extLst>
                <a:ext uri="{63B3BB69-23CF-44E3-9099-C40C66FF867C}">
                  <a14:compatExt spid="_x0000_s66562"/>
                </a:ext>
                <a:ext uri="{FF2B5EF4-FFF2-40B4-BE49-F238E27FC236}">
                  <a16:creationId xmlns:a16="http://schemas.microsoft.com/office/drawing/2014/main" id="{00000000-0008-0000-02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5</xdr:col>
          <xdr:colOff>350520</xdr:colOff>
          <xdr:row>33</xdr:row>
          <xdr:rowOff>182880</xdr:rowOff>
        </xdr:to>
        <xdr:sp macro="" textlink="">
          <xdr:nvSpPr>
            <xdr:cNvPr id="66563" name="Check Box 3" hidden="1">
              <a:extLst>
                <a:ext uri="{63B3BB69-23CF-44E3-9099-C40C66FF867C}">
                  <a14:compatExt spid="_x0000_s66563"/>
                </a:ext>
                <a:ext uri="{FF2B5EF4-FFF2-40B4-BE49-F238E27FC236}">
                  <a16:creationId xmlns:a16="http://schemas.microsoft.com/office/drawing/2014/main" id="{00000000-0008-0000-0200-00000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30480</xdr:rowOff>
        </xdr:from>
        <xdr:to>
          <xdr:col>15</xdr:col>
          <xdr:colOff>464820</xdr:colOff>
          <xdr:row>36</xdr:row>
          <xdr:rowOff>160020</xdr:rowOff>
        </xdr:to>
        <xdr:sp macro="" textlink="">
          <xdr:nvSpPr>
            <xdr:cNvPr id="66564" name="Check Box 4" hidden="1">
              <a:extLst>
                <a:ext uri="{63B3BB69-23CF-44E3-9099-C40C66FF867C}">
                  <a14:compatExt spid="_x0000_s66564"/>
                </a:ext>
                <a:ext uri="{FF2B5EF4-FFF2-40B4-BE49-F238E27FC236}">
                  <a16:creationId xmlns:a16="http://schemas.microsoft.com/office/drawing/2014/main" id="{00000000-0008-0000-0200-00000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37</xdr:row>
          <xdr:rowOff>30480</xdr:rowOff>
        </xdr:from>
        <xdr:to>
          <xdr:col>16</xdr:col>
          <xdr:colOff>228600</xdr:colOff>
          <xdr:row>38</xdr:row>
          <xdr:rowOff>0</xdr:rowOff>
        </xdr:to>
        <xdr:sp macro="" textlink="">
          <xdr:nvSpPr>
            <xdr:cNvPr id="66565" name="Check Box 5" hidden="1">
              <a:extLst>
                <a:ext uri="{63B3BB69-23CF-44E3-9099-C40C66FF867C}">
                  <a14:compatExt spid="_x0000_s66565"/>
                </a:ext>
                <a:ext uri="{FF2B5EF4-FFF2-40B4-BE49-F238E27FC236}">
                  <a16:creationId xmlns:a16="http://schemas.microsoft.com/office/drawing/2014/main" id="{00000000-0008-0000-0200-00000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14</xdr:col>
          <xdr:colOff>144780</xdr:colOff>
          <xdr:row>39</xdr:row>
          <xdr:rowOff>0</xdr:rowOff>
        </xdr:to>
        <xdr:sp macro="" textlink="">
          <xdr:nvSpPr>
            <xdr:cNvPr id="66566" name="Check Box 6" hidden="1">
              <a:extLst>
                <a:ext uri="{63B3BB69-23CF-44E3-9099-C40C66FF867C}">
                  <a14:compatExt spid="_x0000_s66566"/>
                </a:ext>
                <a:ext uri="{FF2B5EF4-FFF2-40B4-BE49-F238E27FC236}">
                  <a16:creationId xmlns:a16="http://schemas.microsoft.com/office/drawing/2014/main" id="{00000000-0008-0000-0200-00000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66567" name="Check Box 7" hidden="1">
              <a:extLst>
                <a:ext uri="{63B3BB69-23CF-44E3-9099-C40C66FF867C}">
                  <a14:compatExt spid="_x0000_s66567"/>
                </a:ext>
                <a:ext uri="{FF2B5EF4-FFF2-40B4-BE49-F238E27FC236}">
                  <a16:creationId xmlns:a16="http://schemas.microsoft.com/office/drawing/2014/main" id="{00000000-0008-0000-0200-00000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3</xdr:col>
          <xdr:colOff>426720</xdr:colOff>
          <xdr:row>33</xdr:row>
          <xdr:rowOff>7620</xdr:rowOff>
        </xdr:to>
        <xdr:sp macro="" textlink="">
          <xdr:nvSpPr>
            <xdr:cNvPr id="66568" name="Check Box 8" hidden="1">
              <a:extLst>
                <a:ext uri="{63B3BB69-23CF-44E3-9099-C40C66FF867C}">
                  <a14:compatExt spid="_x0000_s66568"/>
                </a:ext>
                <a:ext uri="{FF2B5EF4-FFF2-40B4-BE49-F238E27FC236}">
                  <a16:creationId xmlns:a16="http://schemas.microsoft.com/office/drawing/2014/main" id="{00000000-0008-0000-0200-00000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4</xdr:col>
          <xdr:colOff>655320</xdr:colOff>
          <xdr:row>34</xdr:row>
          <xdr:rowOff>160020</xdr:rowOff>
        </xdr:to>
        <xdr:sp macro="" textlink="">
          <xdr:nvSpPr>
            <xdr:cNvPr id="66569" name="Check Box 9" hidden="1">
              <a:extLst>
                <a:ext uri="{63B3BB69-23CF-44E3-9099-C40C66FF867C}">
                  <a14:compatExt spid="_x0000_s66569"/>
                </a:ext>
                <a:ext uri="{FF2B5EF4-FFF2-40B4-BE49-F238E27FC236}">
                  <a16:creationId xmlns:a16="http://schemas.microsoft.com/office/drawing/2014/main" id="{00000000-0008-0000-0200-00000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5</xdr:col>
          <xdr:colOff>350520</xdr:colOff>
          <xdr:row>33</xdr:row>
          <xdr:rowOff>182880</xdr:rowOff>
        </xdr:to>
        <xdr:sp macro="" textlink="">
          <xdr:nvSpPr>
            <xdr:cNvPr id="66570" name="Check Box 10" hidden="1">
              <a:extLst>
                <a:ext uri="{63B3BB69-23CF-44E3-9099-C40C66FF867C}">
                  <a14:compatExt spid="_x0000_s66570"/>
                </a:ext>
                <a:ext uri="{FF2B5EF4-FFF2-40B4-BE49-F238E27FC236}">
                  <a16:creationId xmlns:a16="http://schemas.microsoft.com/office/drawing/2014/main" id="{00000000-0008-0000-0200-00000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14</xdr:col>
          <xdr:colOff>144780</xdr:colOff>
          <xdr:row>39</xdr:row>
          <xdr:rowOff>0</xdr:rowOff>
        </xdr:to>
        <xdr:sp macro="" textlink="">
          <xdr:nvSpPr>
            <xdr:cNvPr id="66571" name="Check Box 11" hidden="1">
              <a:extLst>
                <a:ext uri="{63B3BB69-23CF-44E3-9099-C40C66FF867C}">
                  <a14:compatExt spid="_x0000_s66571"/>
                </a:ext>
                <a:ext uri="{FF2B5EF4-FFF2-40B4-BE49-F238E27FC236}">
                  <a16:creationId xmlns:a16="http://schemas.microsoft.com/office/drawing/2014/main" id="{00000000-0008-0000-0200-00000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66572" name="Check Box 12" hidden="1">
              <a:extLst>
                <a:ext uri="{63B3BB69-23CF-44E3-9099-C40C66FF867C}">
                  <a14:compatExt spid="_x0000_s66572"/>
                </a:ext>
                <a:ext uri="{FF2B5EF4-FFF2-40B4-BE49-F238E27FC236}">
                  <a16:creationId xmlns:a16="http://schemas.microsoft.com/office/drawing/2014/main" id="{00000000-0008-0000-0200-00000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3</xdr:col>
          <xdr:colOff>426720</xdr:colOff>
          <xdr:row>33</xdr:row>
          <xdr:rowOff>7620</xdr:rowOff>
        </xdr:to>
        <xdr:sp macro="" textlink="">
          <xdr:nvSpPr>
            <xdr:cNvPr id="66573" name="Check Box 13" hidden="1">
              <a:extLst>
                <a:ext uri="{63B3BB69-23CF-44E3-9099-C40C66FF867C}">
                  <a14:compatExt spid="_x0000_s66573"/>
                </a:ext>
                <a:ext uri="{FF2B5EF4-FFF2-40B4-BE49-F238E27FC236}">
                  <a16:creationId xmlns:a16="http://schemas.microsoft.com/office/drawing/2014/main" id="{00000000-0008-0000-0200-00000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4</xdr:col>
          <xdr:colOff>655320</xdr:colOff>
          <xdr:row>34</xdr:row>
          <xdr:rowOff>160020</xdr:rowOff>
        </xdr:to>
        <xdr:sp macro="" textlink="">
          <xdr:nvSpPr>
            <xdr:cNvPr id="66574" name="Check Box 14" hidden="1">
              <a:extLst>
                <a:ext uri="{63B3BB69-23CF-44E3-9099-C40C66FF867C}">
                  <a14:compatExt spid="_x0000_s66574"/>
                </a:ext>
                <a:ext uri="{FF2B5EF4-FFF2-40B4-BE49-F238E27FC236}">
                  <a16:creationId xmlns:a16="http://schemas.microsoft.com/office/drawing/2014/main" id="{00000000-0008-0000-0200-00000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5</xdr:col>
          <xdr:colOff>350520</xdr:colOff>
          <xdr:row>33</xdr:row>
          <xdr:rowOff>182880</xdr:rowOff>
        </xdr:to>
        <xdr:sp macro="" textlink="">
          <xdr:nvSpPr>
            <xdr:cNvPr id="66575" name="Check Box 15" hidden="1">
              <a:extLst>
                <a:ext uri="{63B3BB69-23CF-44E3-9099-C40C66FF867C}">
                  <a14:compatExt spid="_x0000_s66575"/>
                </a:ext>
                <a:ext uri="{FF2B5EF4-FFF2-40B4-BE49-F238E27FC236}">
                  <a16:creationId xmlns:a16="http://schemas.microsoft.com/office/drawing/2014/main" id="{00000000-0008-0000-0200-00000F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30480</xdr:rowOff>
        </xdr:from>
        <xdr:to>
          <xdr:col>15</xdr:col>
          <xdr:colOff>464820</xdr:colOff>
          <xdr:row>36</xdr:row>
          <xdr:rowOff>160020</xdr:rowOff>
        </xdr:to>
        <xdr:sp macro="" textlink="">
          <xdr:nvSpPr>
            <xdr:cNvPr id="66576" name="Check Box 16" hidden="1">
              <a:extLst>
                <a:ext uri="{63B3BB69-23CF-44E3-9099-C40C66FF867C}">
                  <a14:compatExt spid="_x0000_s66576"/>
                </a:ext>
                <a:ext uri="{FF2B5EF4-FFF2-40B4-BE49-F238E27FC236}">
                  <a16:creationId xmlns:a16="http://schemas.microsoft.com/office/drawing/2014/main" id="{00000000-0008-0000-0200-00001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37</xdr:row>
          <xdr:rowOff>30480</xdr:rowOff>
        </xdr:from>
        <xdr:to>
          <xdr:col>16</xdr:col>
          <xdr:colOff>228600</xdr:colOff>
          <xdr:row>38</xdr:row>
          <xdr:rowOff>0</xdr:rowOff>
        </xdr:to>
        <xdr:sp macro="" textlink="">
          <xdr:nvSpPr>
            <xdr:cNvPr id="66577" name="Check Box 17" hidden="1">
              <a:extLst>
                <a:ext uri="{63B3BB69-23CF-44E3-9099-C40C66FF867C}">
                  <a14:compatExt spid="_x0000_s66577"/>
                </a:ext>
                <a:ext uri="{FF2B5EF4-FFF2-40B4-BE49-F238E27FC236}">
                  <a16:creationId xmlns:a16="http://schemas.microsoft.com/office/drawing/2014/main" id="{00000000-0008-0000-0200-00001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14</xdr:col>
          <xdr:colOff>144780</xdr:colOff>
          <xdr:row>39</xdr:row>
          <xdr:rowOff>0</xdr:rowOff>
        </xdr:to>
        <xdr:sp macro="" textlink="">
          <xdr:nvSpPr>
            <xdr:cNvPr id="66578" name="Check Box 18" hidden="1">
              <a:extLst>
                <a:ext uri="{63B3BB69-23CF-44E3-9099-C40C66FF867C}">
                  <a14:compatExt spid="_x0000_s66578"/>
                </a:ext>
                <a:ext uri="{FF2B5EF4-FFF2-40B4-BE49-F238E27FC236}">
                  <a16:creationId xmlns:a16="http://schemas.microsoft.com/office/drawing/2014/main" id="{00000000-0008-0000-0200-00001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66579" name="Check Box 19" hidden="1">
              <a:extLst>
                <a:ext uri="{63B3BB69-23CF-44E3-9099-C40C66FF867C}">
                  <a14:compatExt spid="_x0000_s66579"/>
                </a:ext>
                <a:ext uri="{FF2B5EF4-FFF2-40B4-BE49-F238E27FC236}">
                  <a16:creationId xmlns:a16="http://schemas.microsoft.com/office/drawing/2014/main" id="{00000000-0008-0000-0200-00001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3</xdr:col>
          <xdr:colOff>426720</xdr:colOff>
          <xdr:row>33</xdr:row>
          <xdr:rowOff>7620</xdr:rowOff>
        </xdr:to>
        <xdr:sp macro="" textlink="">
          <xdr:nvSpPr>
            <xdr:cNvPr id="66580" name="Check Box 20" hidden="1">
              <a:extLst>
                <a:ext uri="{63B3BB69-23CF-44E3-9099-C40C66FF867C}">
                  <a14:compatExt spid="_x0000_s66580"/>
                </a:ext>
                <a:ext uri="{FF2B5EF4-FFF2-40B4-BE49-F238E27FC236}">
                  <a16:creationId xmlns:a16="http://schemas.microsoft.com/office/drawing/2014/main" id="{00000000-0008-0000-0200-00001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4</xdr:col>
          <xdr:colOff>655320</xdr:colOff>
          <xdr:row>34</xdr:row>
          <xdr:rowOff>160020</xdr:rowOff>
        </xdr:to>
        <xdr:sp macro="" textlink="">
          <xdr:nvSpPr>
            <xdr:cNvPr id="66581" name="Check Box 21" hidden="1">
              <a:extLst>
                <a:ext uri="{63B3BB69-23CF-44E3-9099-C40C66FF867C}">
                  <a14:compatExt spid="_x0000_s66581"/>
                </a:ext>
                <a:ext uri="{FF2B5EF4-FFF2-40B4-BE49-F238E27FC236}">
                  <a16:creationId xmlns:a16="http://schemas.microsoft.com/office/drawing/2014/main" id="{00000000-0008-0000-0200-00001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5</xdr:col>
          <xdr:colOff>350520</xdr:colOff>
          <xdr:row>33</xdr:row>
          <xdr:rowOff>182880</xdr:rowOff>
        </xdr:to>
        <xdr:sp macro="" textlink="">
          <xdr:nvSpPr>
            <xdr:cNvPr id="66582" name="Check Box 22" hidden="1">
              <a:extLst>
                <a:ext uri="{63B3BB69-23CF-44E3-9099-C40C66FF867C}">
                  <a14:compatExt spid="_x0000_s66582"/>
                </a:ext>
                <a:ext uri="{FF2B5EF4-FFF2-40B4-BE49-F238E27FC236}">
                  <a16:creationId xmlns:a16="http://schemas.microsoft.com/office/drawing/2014/main" id="{00000000-0008-0000-0200-00001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14</xdr:col>
          <xdr:colOff>144780</xdr:colOff>
          <xdr:row>39</xdr:row>
          <xdr:rowOff>0</xdr:rowOff>
        </xdr:to>
        <xdr:sp macro="" textlink="">
          <xdr:nvSpPr>
            <xdr:cNvPr id="66583" name="Check Box 23" hidden="1">
              <a:extLst>
                <a:ext uri="{63B3BB69-23CF-44E3-9099-C40C66FF867C}">
                  <a14:compatExt spid="_x0000_s66583"/>
                </a:ext>
                <a:ext uri="{FF2B5EF4-FFF2-40B4-BE49-F238E27FC236}">
                  <a16:creationId xmlns:a16="http://schemas.microsoft.com/office/drawing/2014/main" id="{00000000-0008-0000-0200-00001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66584" name="Check Box 24" hidden="1">
              <a:extLst>
                <a:ext uri="{63B3BB69-23CF-44E3-9099-C40C66FF867C}">
                  <a14:compatExt spid="_x0000_s66584"/>
                </a:ext>
                <a:ext uri="{FF2B5EF4-FFF2-40B4-BE49-F238E27FC236}">
                  <a16:creationId xmlns:a16="http://schemas.microsoft.com/office/drawing/2014/main" id="{00000000-0008-0000-0200-00001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35</xdr:row>
          <xdr:rowOff>0</xdr:rowOff>
        </xdr:from>
        <xdr:to>
          <xdr:col>3</xdr:col>
          <xdr:colOff>495300</xdr:colOff>
          <xdr:row>36</xdr:row>
          <xdr:rowOff>7620</xdr:rowOff>
        </xdr:to>
        <xdr:sp macro="" textlink="">
          <xdr:nvSpPr>
            <xdr:cNvPr id="66585" name="Check Box 25" hidden="1">
              <a:extLst>
                <a:ext uri="{63B3BB69-23CF-44E3-9099-C40C66FF867C}">
                  <a14:compatExt spid="_x0000_s66585"/>
                </a:ext>
                <a:ext uri="{FF2B5EF4-FFF2-40B4-BE49-F238E27FC236}">
                  <a16:creationId xmlns:a16="http://schemas.microsoft.com/office/drawing/2014/main" id="{00000000-0008-0000-01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37</xdr:row>
          <xdr:rowOff>0</xdr:rowOff>
        </xdr:from>
        <xdr:to>
          <xdr:col>4</xdr:col>
          <xdr:colOff>655320</xdr:colOff>
          <xdr:row>37</xdr:row>
          <xdr:rowOff>160020</xdr:rowOff>
        </xdr:to>
        <xdr:sp macro="" textlink="">
          <xdr:nvSpPr>
            <xdr:cNvPr id="66586" name="Check Box 26" hidden="1">
              <a:extLst>
                <a:ext uri="{63B3BB69-23CF-44E3-9099-C40C66FF867C}">
                  <a14:compatExt spid="_x0000_s66586"/>
                </a:ext>
                <a:ext uri="{FF2B5EF4-FFF2-40B4-BE49-F238E27FC236}">
                  <a16:creationId xmlns:a16="http://schemas.microsoft.com/office/drawing/2014/main" id="{00000000-0008-0000-01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35</xdr:row>
          <xdr:rowOff>182880</xdr:rowOff>
        </xdr:from>
        <xdr:to>
          <xdr:col>5</xdr:col>
          <xdr:colOff>342900</xdr:colOff>
          <xdr:row>37</xdr:row>
          <xdr:rowOff>22860</xdr:rowOff>
        </xdr:to>
        <xdr:sp macro="" textlink="">
          <xdr:nvSpPr>
            <xdr:cNvPr id="66587" name="Check Box 27" hidden="1">
              <a:extLst>
                <a:ext uri="{63B3BB69-23CF-44E3-9099-C40C66FF867C}">
                  <a14:compatExt spid="_x0000_s66587"/>
                </a:ext>
                <a:ext uri="{FF2B5EF4-FFF2-40B4-BE49-F238E27FC236}">
                  <a16:creationId xmlns:a16="http://schemas.microsoft.com/office/drawing/2014/main" id="{00000000-0008-0000-01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39</xdr:row>
          <xdr:rowOff>30480</xdr:rowOff>
        </xdr:from>
        <xdr:to>
          <xdr:col>15</xdr:col>
          <xdr:colOff>449580</xdr:colOff>
          <xdr:row>39</xdr:row>
          <xdr:rowOff>160020</xdr:rowOff>
        </xdr:to>
        <xdr:sp macro="" textlink="">
          <xdr:nvSpPr>
            <xdr:cNvPr id="66588" name="Check Box 28" hidden="1">
              <a:extLst>
                <a:ext uri="{63B3BB69-23CF-44E3-9099-C40C66FF867C}">
                  <a14:compatExt spid="_x0000_s66588"/>
                </a:ext>
                <a:ext uri="{FF2B5EF4-FFF2-40B4-BE49-F238E27FC236}">
                  <a16:creationId xmlns:a16="http://schemas.microsoft.com/office/drawing/2014/main" id="{00000000-0008-0000-01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40</xdr:row>
          <xdr:rowOff>30480</xdr:rowOff>
        </xdr:from>
        <xdr:to>
          <xdr:col>16</xdr:col>
          <xdr:colOff>213360</xdr:colOff>
          <xdr:row>41</xdr:row>
          <xdr:rowOff>0</xdr:rowOff>
        </xdr:to>
        <xdr:sp macro="" textlink="">
          <xdr:nvSpPr>
            <xdr:cNvPr id="66589" name="Check Box 29" hidden="1">
              <a:extLst>
                <a:ext uri="{63B3BB69-23CF-44E3-9099-C40C66FF867C}">
                  <a14:compatExt spid="_x0000_s66589"/>
                </a:ext>
                <a:ext uri="{FF2B5EF4-FFF2-40B4-BE49-F238E27FC236}">
                  <a16:creationId xmlns:a16="http://schemas.microsoft.com/office/drawing/2014/main" id="{00000000-0008-0000-01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41</xdr:row>
          <xdr:rowOff>7620</xdr:rowOff>
        </xdr:from>
        <xdr:to>
          <xdr:col>14</xdr:col>
          <xdr:colOff>144780</xdr:colOff>
          <xdr:row>42</xdr:row>
          <xdr:rowOff>0</xdr:rowOff>
        </xdr:to>
        <xdr:sp macro="" textlink="">
          <xdr:nvSpPr>
            <xdr:cNvPr id="66590" name="Check Box 30" hidden="1">
              <a:extLst>
                <a:ext uri="{63B3BB69-23CF-44E3-9099-C40C66FF867C}">
                  <a14:compatExt spid="_x0000_s66590"/>
                </a:ext>
                <a:ext uri="{FF2B5EF4-FFF2-40B4-BE49-F238E27FC236}">
                  <a16:creationId xmlns:a16="http://schemas.microsoft.com/office/drawing/2014/main" id="{00000000-0008-0000-01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7620</xdr:rowOff>
        </xdr:to>
        <xdr:sp macro="" textlink="">
          <xdr:nvSpPr>
            <xdr:cNvPr id="66591" name="Check Box 31" hidden="1">
              <a:extLst>
                <a:ext uri="{63B3BB69-23CF-44E3-9099-C40C66FF867C}">
                  <a14:compatExt spid="_x0000_s66591"/>
                </a:ext>
                <a:ext uri="{FF2B5EF4-FFF2-40B4-BE49-F238E27FC236}">
                  <a16:creationId xmlns:a16="http://schemas.microsoft.com/office/drawing/2014/main" id="{00000000-0008-0000-01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2</xdr:col>
          <xdr:colOff>3108960</xdr:colOff>
          <xdr:row>33</xdr:row>
          <xdr:rowOff>7620</xdr:rowOff>
        </xdr:to>
        <xdr:sp macro="" textlink="">
          <xdr:nvSpPr>
            <xdr:cNvPr id="67585" name="Check Box 1" hidden="1">
              <a:extLst>
                <a:ext uri="{63B3BB69-23CF-44E3-9099-C40C66FF867C}">
                  <a14:compatExt spid="_x0000_s67585"/>
                </a:ext>
                <a:ext uri="{FF2B5EF4-FFF2-40B4-BE49-F238E27FC236}">
                  <a16:creationId xmlns:a16="http://schemas.microsoft.com/office/drawing/2014/main" id="{00000000-0008-0000-02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3</xdr:col>
          <xdr:colOff>441960</xdr:colOff>
          <xdr:row>34</xdr:row>
          <xdr:rowOff>160020</xdr:rowOff>
        </xdr:to>
        <xdr:sp macro="" textlink="">
          <xdr:nvSpPr>
            <xdr:cNvPr id="67586" name="Check Box 2" hidden="1">
              <a:extLst>
                <a:ext uri="{63B3BB69-23CF-44E3-9099-C40C66FF867C}">
                  <a14:compatExt spid="_x0000_s67586"/>
                </a:ext>
                <a:ext uri="{FF2B5EF4-FFF2-40B4-BE49-F238E27FC236}">
                  <a16:creationId xmlns:a16="http://schemas.microsoft.com/office/drawing/2014/main" id="{00000000-0008-0000-02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3</xdr:col>
          <xdr:colOff>1394460</xdr:colOff>
          <xdr:row>33</xdr:row>
          <xdr:rowOff>182880</xdr:rowOff>
        </xdr:to>
        <xdr:sp macro="" textlink="">
          <xdr:nvSpPr>
            <xdr:cNvPr id="67587" name="Check Box 3" hidden="1">
              <a:extLst>
                <a:ext uri="{63B3BB69-23CF-44E3-9099-C40C66FF867C}">
                  <a14:compatExt spid="_x0000_s67587"/>
                </a:ext>
                <a:ext uri="{FF2B5EF4-FFF2-40B4-BE49-F238E27FC236}">
                  <a16:creationId xmlns:a16="http://schemas.microsoft.com/office/drawing/2014/main" id="{00000000-0008-0000-0200-00000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30480</xdr:rowOff>
        </xdr:from>
        <xdr:to>
          <xdr:col>11</xdr:col>
          <xdr:colOff>160020</xdr:colOff>
          <xdr:row>36</xdr:row>
          <xdr:rowOff>160020</xdr:rowOff>
        </xdr:to>
        <xdr:sp macro="" textlink="">
          <xdr:nvSpPr>
            <xdr:cNvPr id="67588" name="Check Box 4" hidden="1">
              <a:extLst>
                <a:ext uri="{63B3BB69-23CF-44E3-9099-C40C66FF867C}">
                  <a14:compatExt spid="_x0000_s67588"/>
                </a:ext>
                <a:ext uri="{FF2B5EF4-FFF2-40B4-BE49-F238E27FC236}">
                  <a16:creationId xmlns:a16="http://schemas.microsoft.com/office/drawing/2014/main" id="{00000000-0008-0000-0200-00000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37</xdr:row>
          <xdr:rowOff>30480</xdr:rowOff>
        </xdr:from>
        <xdr:to>
          <xdr:col>11</xdr:col>
          <xdr:colOff>556260</xdr:colOff>
          <xdr:row>38</xdr:row>
          <xdr:rowOff>0</xdr:rowOff>
        </xdr:to>
        <xdr:sp macro="" textlink="">
          <xdr:nvSpPr>
            <xdr:cNvPr id="67589" name="Check Box 5" hidden="1">
              <a:extLst>
                <a:ext uri="{63B3BB69-23CF-44E3-9099-C40C66FF867C}">
                  <a14:compatExt spid="_x0000_s67589"/>
                </a:ext>
                <a:ext uri="{FF2B5EF4-FFF2-40B4-BE49-F238E27FC236}">
                  <a16:creationId xmlns:a16="http://schemas.microsoft.com/office/drawing/2014/main" id="{00000000-0008-0000-0200-00000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6</xdr:col>
          <xdr:colOff>1783080</xdr:colOff>
          <xdr:row>39</xdr:row>
          <xdr:rowOff>0</xdr:rowOff>
        </xdr:to>
        <xdr:sp macro="" textlink="">
          <xdr:nvSpPr>
            <xdr:cNvPr id="67590" name="Check Box 6" hidden="1">
              <a:extLst>
                <a:ext uri="{63B3BB69-23CF-44E3-9099-C40C66FF867C}">
                  <a14:compatExt spid="_x0000_s67590"/>
                </a:ext>
                <a:ext uri="{FF2B5EF4-FFF2-40B4-BE49-F238E27FC236}">
                  <a16:creationId xmlns:a16="http://schemas.microsoft.com/office/drawing/2014/main" id="{00000000-0008-0000-0200-00000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67591" name="Check Box 7" hidden="1">
              <a:extLst>
                <a:ext uri="{63B3BB69-23CF-44E3-9099-C40C66FF867C}">
                  <a14:compatExt spid="_x0000_s67591"/>
                </a:ext>
                <a:ext uri="{FF2B5EF4-FFF2-40B4-BE49-F238E27FC236}">
                  <a16:creationId xmlns:a16="http://schemas.microsoft.com/office/drawing/2014/main" id="{00000000-0008-0000-0200-00000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2</xdr:col>
          <xdr:colOff>3108960</xdr:colOff>
          <xdr:row>33</xdr:row>
          <xdr:rowOff>7620</xdr:rowOff>
        </xdr:to>
        <xdr:sp macro="" textlink="">
          <xdr:nvSpPr>
            <xdr:cNvPr id="67592" name="Check Box 8" hidden="1">
              <a:extLst>
                <a:ext uri="{63B3BB69-23CF-44E3-9099-C40C66FF867C}">
                  <a14:compatExt spid="_x0000_s67592"/>
                </a:ext>
                <a:ext uri="{FF2B5EF4-FFF2-40B4-BE49-F238E27FC236}">
                  <a16:creationId xmlns:a16="http://schemas.microsoft.com/office/drawing/2014/main" id="{00000000-0008-0000-0200-00000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3</xdr:col>
          <xdr:colOff>441960</xdr:colOff>
          <xdr:row>34</xdr:row>
          <xdr:rowOff>160020</xdr:rowOff>
        </xdr:to>
        <xdr:sp macro="" textlink="">
          <xdr:nvSpPr>
            <xdr:cNvPr id="67593" name="Check Box 9" hidden="1">
              <a:extLst>
                <a:ext uri="{63B3BB69-23CF-44E3-9099-C40C66FF867C}">
                  <a14:compatExt spid="_x0000_s67593"/>
                </a:ext>
                <a:ext uri="{FF2B5EF4-FFF2-40B4-BE49-F238E27FC236}">
                  <a16:creationId xmlns:a16="http://schemas.microsoft.com/office/drawing/2014/main" id="{00000000-0008-0000-0200-00000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3</xdr:col>
          <xdr:colOff>1394460</xdr:colOff>
          <xdr:row>33</xdr:row>
          <xdr:rowOff>182880</xdr:rowOff>
        </xdr:to>
        <xdr:sp macro="" textlink="">
          <xdr:nvSpPr>
            <xdr:cNvPr id="67594" name="Check Box 10" hidden="1">
              <a:extLst>
                <a:ext uri="{63B3BB69-23CF-44E3-9099-C40C66FF867C}">
                  <a14:compatExt spid="_x0000_s67594"/>
                </a:ext>
                <a:ext uri="{FF2B5EF4-FFF2-40B4-BE49-F238E27FC236}">
                  <a16:creationId xmlns:a16="http://schemas.microsoft.com/office/drawing/2014/main" id="{00000000-0008-0000-0200-00000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6</xdr:col>
          <xdr:colOff>1783080</xdr:colOff>
          <xdr:row>39</xdr:row>
          <xdr:rowOff>0</xdr:rowOff>
        </xdr:to>
        <xdr:sp macro="" textlink="">
          <xdr:nvSpPr>
            <xdr:cNvPr id="67595" name="Check Box 11" hidden="1">
              <a:extLst>
                <a:ext uri="{63B3BB69-23CF-44E3-9099-C40C66FF867C}">
                  <a14:compatExt spid="_x0000_s67595"/>
                </a:ext>
                <a:ext uri="{FF2B5EF4-FFF2-40B4-BE49-F238E27FC236}">
                  <a16:creationId xmlns:a16="http://schemas.microsoft.com/office/drawing/2014/main" id="{00000000-0008-0000-0200-00000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67596" name="Check Box 12" hidden="1">
              <a:extLst>
                <a:ext uri="{63B3BB69-23CF-44E3-9099-C40C66FF867C}">
                  <a14:compatExt spid="_x0000_s67596"/>
                </a:ext>
                <a:ext uri="{FF2B5EF4-FFF2-40B4-BE49-F238E27FC236}">
                  <a16:creationId xmlns:a16="http://schemas.microsoft.com/office/drawing/2014/main" id="{00000000-0008-0000-0200-00000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2</xdr:col>
          <xdr:colOff>3108960</xdr:colOff>
          <xdr:row>33</xdr:row>
          <xdr:rowOff>7620</xdr:rowOff>
        </xdr:to>
        <xdr:sp macro="" textlink="">
          <xdr:nvSpPr>
            <xdr:cNvPr id="67597" name="Check Box 13" hidden="1">
              <a:extLst>
                <a:ext uri="{63B3BB69-23CF-44E3-9099-C40C66FF867C}">
                  <a14:compatExt spid="_x0000_s67597"/>
                </a:ext>
                <a:ext uri="{FF2B5EF4-FFF2-40B4-BE49-F238E27FC236}">
                  <a16:creationId xmlns:a16="http://schemas.microsoft.com/office/drawing/2014/main" id="{00000000-0008-0000-0200-00000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3</xdr:col>
          <xdr:colOff>441960</xdr:colOff>
          <xdr:row>34</xdr:row>
          <xdr:rowOff>160020</xdr:rowOff>
        </xdr:to>
        <xdr:sp macro="" textlink="">
          <xdr:nvSpPr>
            <xdr:cNvPr id="67598" name="Check Box 14" hidden="1">
              <a:extLst>
                <a:ext uri="{63B3BB69-23CF-44E3-9099-C40C66FF867C}">
                  <a14:compatExt spid="_x0000_s67598"/>
                </a:ext>
                <a:ext uri="{FF2B5EF4-FFF2-40B4-BE49-F238E27FC236}">
                  <a16:creationId xmlns:a16="http://schemas.microsoft.com/office/drawing/2014/main" id="{00000000-0008-0000-0200-00000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3</xdr:col>
          <xdr:colOff>1394460</xdr:colOff>
          <xdr:row>33</xdr:row>
          <xdr:rowOff>182880</xdr:rowOff>
        </xdr:to>
        <xdr:sp macro="" textlink="">
          <xdr:nvSpPr>
            <xdr:cNvPr id="67599" name="Check Box 15" hidden="1">
              <a:extLst>
                <a:ext uri="{63B3BB69-23CF-44E3-9099-C40C66FF867C}">
                  <a14:compatExt spid="_x0000_s67599"/>
                </a:ext>
                <a:ext uri="{FF2B5EF4-FFF2-40B4-BE49-F238E27FC236}">
                  <a16:creationId xmlns:a16="http://schemas.microsoft.com/office/drawing/2014/main" id="{00000000-0008-0000-0200-00000F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30480</xdr:rowOff>
        </xdr:from>
        <xdr:to>
          <xdr:col>11</xdr:col>
          <xdr:colOff>160020</xdr:colOff>
          <xdr:row>36</xdr:row>
          <xdr:rowOff>160020</xdr:rowOff>
        </xdr:to>
        <xdr:sp macro="" textlink="">
          <xdr:nvSpPr>
            <xdr:cNvPr id="67600" name="Check Box 16" hidden="1">
              <a:extLst>
                <a:ext uri="{63B3BB69-23CF-44E3-9099-C40C66FF867C}">
                  <a14:compatExt spid="_x0000_s67600"/>
                </a:ext>
                <a:ext uri="{FF2B5EF4-FFF2-40B4-BE49-F238E27FC236}">
                  <a16:creationId xmlns:a16="http://schemas.microsoft.com/office/drawing/2014/main" id="{00000000-0008-0000-0200-00001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37</xdr:row>
          <xdr:rowOff>30480</xdr:rowOff>
        </xdr:from>
        <xdr:to>
          <xdr:col>11</xdr:col>
          <xdr:colOff>556260</xdr:colOff>
          <xdr:row>38</xdr:row>
          <xdr:rowOff>0</xdr:rowOff>
        </xdr:to>
        <xdr:sp macro="" textlink="">
          <xdr:nvSpPr>
            <xdr:cNvPr id="67601" name="Check Box 17" hidden="1">
              <a:extLst>
                <a:ext uri="{63B3BB69-23CF-44E3-9099-C40C66FF867C}">
                  <a14:compatExt spid="_x0000_s67601"/>
                </a:ext>
                <a:ext uri="{FF2B5EF4-FFF2-40B4-BE49-F238E27FC236}">
                  <a16:creationId xmlns:a16="http://schemas.microsoft.com/office/drawing/2014/main" id="{00000000-0008-0000-0200-00001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6</xdr:col>
          <xdr:colOff>1783080</xdr:colOff>
          <xdr:row>39</xdr:row>
          <xdr:rowOff>0</xdr:rowOff>
        </xdr:to>
        <xdr:sp macro="" textlink="">
          <xdr:nvSpPr>
            <xdr:cNvPr id="67602" name="Check Box 18" hidden="1">
              <a:extLst>
                <a:ext uri="{63B3BB69-23CF-44E3-9099-C40C66FF867C}">
                  <a14:compatExt spid="_x0000_s67602"/>
                </a:ext>
                <a:ext uri="{FF2B5EF4-FFF2-40B4-BE49-F238E27FC236}">
                  <a16:creationId xmlns:a16="http://schemas.microsoft.com/office/drawing/2014/main" id="{00000000-0008-0000-0200-00001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67603" name="Check Box 19" hidden="1">
              <a:extLst>
                <a:ext uri="{63B3BB69-23CF-44E3-9099-C40C66FF867C}">
                  <a14:compatExt spid="_x0000_s67603"/>
                </a:ext>
                <a:ext uri="{FF2B5EF4-FFF2-40B4-BE49-F238E27FC236}">
                  <a16:creationId xmlns:a16="http://schemas.microsoft.com/office/drawing/2014/main" id="{00000000-0008-0000-0200-00001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2</xdr:col>
          <xdr:colOff>3108960</xdr:colOff>
          <xdr:row>33</xdr:row>
          <xdr:rowOff>7620</xdr:rowOff>
        </xdr:to>
        <xdr:sp macro="" textlink="">
          <xdr:nvSpPr>
            <xdr:cNvPr id="67604" name="Check Box 20" hidden="1">
              <a:extLst>
                <a:ext uri="{63B3BB69-23CF-44E3-9099-C40C66FF867C}">
                  <a14:compatExt spid="_x0000_s67604"/>
                </a:ext>
                <a:ext uri="{FF2B5EF4-FFF2-40B4-BE49-F238E27FC236}">
                  <a16:creationId xmlns:a16="http://schemas.microsoft.com/office/drawing/2014/main" id="{00000000-0008-0000-0200-00001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3</xdr:col>
          <xdr:colOff>441960</xdr:colOff>
          <xdr:row>34</xdr:row>
          <xdr:rowOff>160020</xdr:rowOff>
        </xdr:to>
        <xdr:sp macro="" textlink="">
          <xdr:nvSpPr>
            <xdr:cNvPr id="67605" name="Check Box 21" hidden="1">
              <a:extLst>
                <a:ext uri="{63B3BB69-23CF-44E3-9099-C40C66FF867C}">
                  <a14:compatExt spid="_x0000_s67605"/>
                </a:ext>
                <a:ext uri="{FF2B5EF4-FFF2-40B4-BE49-F238E27FC236}">
                  <a16:creationId xmlns:a16="http://schemas.microsoft.com/office/drawing/2014/main" id="{00000000-0008-0000-0200-00001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3</xdr:col>
          <xdr:colOff>1394460</xdr:colOff>
          <xdr:row>33</xdr:row>
          <xdr:rowOff>182880</xdr:rowOff>
        </xdr:to>
        <xdr:sp macro="" textlink="">
          <xdr:nvSpPr>
            <xdr:cNvPr id="67606" name="Check Box 22" hidden="1">
              <a:extLst>
                <a:ext uri="{63B3BB69-23CF-44E3-9099-C40C66FF867C}">
                  <a14:compatExt spid="_x0000_s67606"/>
                </a:ext>
                <a:ext uri="{FF2B5EF4-FFF2-40B4-BE49-F238E27FC236}">
                  <a16:creationId xmlns:a16="http://schemas.microsoft.com/office/drawing/2014/main" id="{00000000-0008-0000-0200-00001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6</xdr:col>
          <xdr:colOff>1783080</xdr:colOff>
          <xdr:row>39</xdr:row>
          <xdr:rowOff>0</xdr:rowOff>
        </xdr:to>
        <xdr:sp macro="" textlink="">
          <xdr:nvSpPr>
            <xdr:cNvPr id="67607" name="Check Box 23" hidden="1">
              <a:extLst>
                <a:ext uri="{63B3BB69-23CF-44E3-9099-C40C66FF867C}">
                  <a14:compatExt spid="_x0000_s67607"/>
                </a:ext>
                <a:ext uri="{FF2B5EF4-FFF2-40B4-BE49-F238E27FC236}">
                  <a16:creationId xmlns:a16="http://schemas.microsoft.com/office/drawing/2014/main" id="{00000000-0008-0000-0200-00001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67608" name="Check Box 24" hidden="1">
              <a:extLst>
                <a:ext uri="{63B3BB69-23CF-44E3-9099-C40C66FF867C}">
                  <a14:compatExt spid="_x0000_s67608"/>
                </a:ext>
                <a:ext uri="{FF2B5EF4-FFF2-40B4-BE49-F238E27FC236}">
                  <a16:creationId xmlns:a16="http://schemas.microsoft.com/office/drawing/2014/main" id="{00000000-0008-0000-0200-00001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34</xdr:row>
          <xdr:rowOff>7620</xdr:rowOff>
        </xdr:from>
        <xdr:to>
          <xdr:col>3</xdr:col>
          <xdr:colOff>784860</xdr:colOff>
          <xdr:row>35</xdr:row>
          <xdr:rowOff>38100</xdr:rowOff>
        </xdr:to>
        <xdr:sp macro="" textlink="">
          <xdr:nvSpPr>
            <xdr:cNvPr id="67609" name="Check Box 25" hidden="1">
              <a:extLst>
                <a:ext uri="{63B3BB69-23CF-44E3-9099-C40C66FF867C}">
                  <a14:compatExt spid="_x0000_s67609"/>
                </a:ext>
                <a:ext uri="{FF2B5EF4-FFF2-40B4-BE49-F238E27FC236}">
                  <a16:creationId xmlns:a16="http://schemas.microsoft.com/office/drawing/2014/main" id="{00000000-0008-0000-01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Կորոնավիրուսի համավարակի հետևանքների հաղթահարում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35</xdr:row>
          <xdr:rowOff>0</xdr:rowOff>
        </xdr:from>
        <xdr:to>
          <xdr:col>2</xdr:col>
          <xdr:colOff>3108960</xdr:colOff>
          <xdr:row>36</xdr:row>
          <xdr:rowOff>7620</xdr:rowOff>
        </xdr:to>
        <xdr:sp macro="" textlink="">
          <xdr:nvSpPr>
            <xdr:cNvPr id="67610" name="Check Box 26" hidden="1">
              <a:extLst>
                <a:ext uri="{63B3BB69-23CF-44E3-9099-C40C66FF867C}">
                  <a14:compatExt spid="_x0000_s67610"/>
                </a:ext>
                <a:ext uri="{FF2B5EF4-FFF2-40B4-BE49-F238E27FC236}">
                  <a16:creationId xmlns:a16="http://schemas.microsoft.com/office/drawing/2014/main" id="{00000000-0008-0000-01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37</xdr:row>
          <xdr:rowOff>0</xdr:rowOff>
        </xdr:from>
        <xdr:to>
          <xdr:col>3</xdr:col>
          <xdr:colOff>441960</xdr:colOff>
          <xdr:row>37</xdr:row>
          <xdr:rowOff>160020</xdr:rowOff>
        </xdr:to>
        <xdr:sp macro="" textlink="">
          <xdr:nvSpPr>
            <xdr:cNvPr id="67611" name="Check Box 27" hidden="1">
              <a:extLst>
                <a:ext uri="{63B3BB69-23CF-44E3-9099-C40C66FF867C}">
                  <a14:compatExt spid="_x0000_s67611"/>
                </a:ext>
                <a:ext uri="{FF2B5EF4-FFF2-40B4-BE49-F238E27FC236}">
                  <a16:creationId xmlns:a16="http://schemas.microsoft.com/office/drawing/2014/main" id="{00000000-0008-0000-01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35</xdr:row>
          <xdr:rowOff>182880</xdr:rowOff>
        </xdr:from>
        <xdr:to>
          <xdr:col>3</xdr:col>
          <xdr:colOff>1356360</xdr:colOff>
          <xdr:row>37</xdr:row>
          <xdr:rowOff>22860</xdr:rowOff>
        </xdr:to>
        <xdr:sp macro="" textlink="">
          <xdr:nvSpPr>
            <xdr:cNvPr id="67612" name="Check Box 28" hidden="1">
              <a:extLst>
                <a:ext uri="{63B3BB69-23CF-44E3-9099-C40C66FF867C}">
                  <a14:compatExt spid="_x0000_s67612"/>
                </a:ext>
                <a:ext uri="{FF2B5EF4-FFF2-40B4-BE49-F238E27FC236}">
                  <a16:creationId xmlns:a16="http://schemas.microsoft.com/office/drawing/2014/main" id="{00000000-0008-0000-01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39</xdr:row>
          <xdr:rowOff>30480</xdr:rowOff>
        </xdr:from>
        <xdr:to>
          <xdr:col>11</xdr:col>
          <xdr:colOff>297180</xdr:colOff>
          <xdr:row>39</xdr:row>
          <xdr:rowOff>160020</xdr:rowOff>
        </xdr:to>
        <xdr:sp macro="" textlink="">
          <xdr:nvSpPr>
            <xdr:cNvPr id="67613" name="Check Box 29" hidden="1">
              <a:extLst>
                <a:ext uri="{63B3BB69-23CF-44E3-9099-C40C66FF867C}">
                  <a14:compatExt spid="_x0000_s67613"/>
                </a:ext>
                <a:ext uri="{FF2B5EF4-FFF2-40B4-BE49-F238E27FC236}">
                  <a16:creationId xmlns:a16="http://schemas.microsoft.com/office/drawing/2014/main" id="{00000000-0008-0000-01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40</xdr:row>
          <xdr:rowOff>30480</xdr:rowOff>
        </xdr:from>
        <xdr:to>
          <xdr:col>11</xdr:col>
          <xdr:colOff>533400</xdr:colOff>
          <xdr:row>41</xdr:row>
          <xdr:rowOff>0</xdr:rowOff>
        </xdr:to>
        <xdr:sp macro="" textlink="">
          <xdr:nvSpPr>
            <xdr:cNvPr id="67614" name="Check Box 30" hidden="1">
              <a:extLst>
                <a:ext uri="{63B3BB69-23CF-44E3-9099-C40C66FF867C}">
                  <a14:compatExt spid="_x0000_s67614"/>
                </a:ext>
                <a:ext uri="{FF2B5EF4-FFF2-40B4-BE49-F238E27FC236}">
                  <a16:creationId xmlns:a16="http://schemas.microsoft.com/office/drawing/2014/main" id="{00000000-0008-0000-01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41</xdr:row>
          <xdr:rowOff>7620</xdr:rowOff>
        </xdr:from>
        <xdr:to>
          <xdr:col>6</xdr:col>
          <xdr:colOff>1828800</xdr:colOff>
          <xdr:row>42</xdr:row>
          <xdr:rowOff>0</xdr:rowOff>
        </xdr:to>
        <xdr:sp macro="" textlink="">
          <xdr:nvSpPr>
            <xdr:cNvPr id="67615" name="Check Box 31" hidden="1">
              <a:extLst>
                <a:ext uri="{63B3BB69-23CF-44E3-9099-C40C66FF867C}">
                  <a14:compatExt spid="_x0000_s67615"/>
                </a:ext>
                <a:ext uri="{FF2B5EF4-FFF2-40B4-BE49-F238E27FC236}">
                  <a16:creationId xmlns:a16="http://schemas.microsoft.com/office/drawing/2014/main" id="{00000000-0008-0000-01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67616" name="Check Box 32" hidden="1">
              <a:extLst>
                <a:ext uri="{63B3BB69-23CF-44E3-9099-C40C66FF867C}">
                  <a14:compatExt spid="_x0000_s67616"/>
                </a:ext>
                <a:ext uri="{FF2B5EF4-FFF2-40B4-BE49-F238E27FC236}">
                  <a16:creationId xmlns:a16="http://schemas.microsoft.com/office/drawing/2014/main" id="{00000000-0008-0000-01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xdr:wsDr>
</file>

<file path=xl/drawings/drawing15.xml><?xml version="1.0" encoding="utf-8"?>
<xdr:wsDr xmlns:xdr="http://schemas.openxmlformats.org/drawingml/2006/spreadsheetDrawing" xmlns:a="http://schemas.openxmlformats.org/drawingml/2006/main">
  <xdr:oneCellAnchor>
    <xdr:from>
      <xdr:col>3</xdr:col>
      <xdr:colOff>2553566</xdr:colOff>
      <xdr:row>35</xdr:row>
      <xdr:rowOff>467591</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3422246" y="3080281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3</xdr:col>
      <xdr:colOff>2553566</xdr:colOff>
      <xdr:row>35</xdr:row>
      <xdr:rowOff>467591</xdr:rowOff>
    </xdr:from>
    <xdr:ext cx="184731" cy="264560"/>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3422246" y="3080281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3</xdr:col>
      <xdr:colOff>2239241</xdr:colOff>
      <xdr:row>36</xdr:row>
      <xdr:rowOff>29441</xdr:rowOff>
    </xdr:from>
    <xdr:ext cx="184731" cy="264560"/>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3405101" y="3156100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2</xdr:col>
          <xdr:colOff>3108960</xdr:colOff>
          <xdr:row>33</xdr:row>
          <xdr:rowOff>7620</xdr:rowOff>
        </xdr:to>
        <xdr:sp macro="" textlink="">
          <xdr:nvSpPr>
            <xdr:cNvPr id="73729" name="Check Box 1" hidden="1">
              <a:extLst>
                <a:ext uri="{63B3BB69-23CF-44E3-9099-C40C66FF867C}">
                  <a14:compatExt spid="_x0000_s73729"/>
                </a:ext>
                <a:ext uri="{FF2B5EF4-FFF2-40B4-BE49-F238E27FC236}">
                  <a16:creationId xmlns:a16="http://schemas.microsoft.com/office/drawing/2014/main" id="{00000000-0008-0000-02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3</xdr:col>
          <xdr:colOff>1021080</xdr:colOff>
          <xdr:row>34</xdr:row>
          <xdr:rowOff>160020</xdr:rowOff>
        </xdr:to>
        <xdr:sp macro="" textlink="">
          <xdr:nvSpPr>
            <xdr:cNvPr id="73730" name="Check Box 2" hidden="1">
              <a:extLst>
                <a:ext uri="{63B3BB69-23CF-44E3-9099-C40C66FF867C}">
                  <a14:compatExt spid="_x0000_s73730"/>
                </a:ext>
                <a:ext uri="{FF2B5EF4-FFF2-40B4-BE49-F238E27FC236}">
                  <a16:creationId xmlns:a16="http://schemas.microsoft.com/office/drawing/2014/main" id="{00000000-0008-0000-02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3</xdr:col>
          <xdr:colOff>1981200</xdr:colOff>
          <xdr:row>33</xdr:row>
          <xdr:rowOff>182880</xdr:rowOff>
        </xdr:to>
        <xdr:sp macro="" textlink="">
          <xdr:nvSpPr>
            <xdr:cNvPr id="73731" name="Check Box 3" hidden="1">
              <a:extLst>
                <a:ext uri="{63B3BB69-23CF-44E3-9099-C40C66FF867C}">
                  <a14:compatExt spid="_x0000_s73731"/>
                </a:ext>
                <a:ext uri="{FF2B5EF4-FFF2-40B4-BE49-F238E27FC236}">
                  <a16:creationId xmlns:a16="http://schemas.microsoft.com/office/drawing/2014/main" id="{00000000-0008-0000-0200-00000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30480</xdr:rowOff>
        </xdr:from>
        <xdr:to>
          <xdr:col>10</xdr:col>
          <xdr:colOff>22860</xdr:colOff>
          <xdr:row>36</xdr:row>
          <xdr:rowOff>160020</xdr:rowOff>
        </xdr:to>
        <xdr:sp macro="" textlink="">
          <xdr:nvSpPr>
            <xdr:cNvPr id="73732" name="Check Box 4" hidden="1">
              <a:extLst>
                <a:ext uri="{63B3BB69-23CF-44E3-9099-C40C66FF867C}">
                  <a14:compatExt spid="_x0000_s73732"/>
                </a:ext>
                <a:ext uri="{FF2B5EF4-FFF2-40B4-BE49-F238E27FC236}">
                  <a16:creationId xmlns:a16="http://schemas.microsoft.com/office/drawing/2014/main" id="{00000000-0008-0000-0200-00000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37</xdr:row>
          <xdr:rowOff>30480</xdr:rowOff>
        </xdr:from>
        <xdr:to>
          <xdr:col>10</xdr:col>
          <xdr:colOff>403860</xdr:colOff>
          <xdr:row>38</xdr:row>
          <xdr:rowOff>0</xdr:rowOff>
        </xdr:to>
        <xdr:sp macro="" textlink="">
          <xdr:nvSpPr>
            <xdr:cNvPr id="73733" name="Check Box 5" hidden="1">
              <a:extLst>
                <a:ext uri="{63B3BB69-23CF-44E3-9099-C40C66FF867C}">
                  <a14:compatExt spid="_x0000_s73733"/>
                </a:ext>
                <a:ext uri="{FF2B5EF4-FFF2-40B4-BE49-F238E27FC236}">
                  <a16:creationId xmlns:a16="http://schemas.microsoft.com/office/drawing/2014/main" id="{00000000-0008-0000-0200-00000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6</xdr:col>
          <xdr:colOff>1013460</xdr:colOff>
          <xdr:row>39</xdr:row>
          <xdr:rowOff>0</xdr:rowOff>
        </xdr:to>
        <xdr:sp macro="" textlink="">
          <xdr:nvSpPr>
            <xdr:cNvPr id="73734" name="Check Box 6" hidden="1">
              <a:extLst>
                <a:ext uri="{63B3BB69-23CF-44E3-9099-C40C66FF867C}">
                  <a14:compatExt spid="_x0000_s73734"/>
                </a:ext>
                <a:ext uri="{FF2B5EF4-FFF2-40B4-BE49-F238E27FC236}">
                  <a16:creationId xmlns:a16="http://schemas.microsoft.com/office/drawing/2014/main" id="{00000000-0008-0000-0200-00000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73735" name="Check Box 7" hidden="1">
              <a:extLst>
                <a:ext uri="{63B3BB69-23CF-44E3-9099-C40C66FF867C}">
                  <a14:compatExt spid="_x0000_s73735"/>
                </a:ext>
                <a:ext uri="{FF2B5EF4-FFF2-40B4-BE49-F238E27FC236}">
                  <a16:creationId xmlns:a16="http://schemas.microsoft.com/office/drawing/2014/main" id="{00000000-0008-0000-0200-00000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2</xdr:col>
          <xdr:colOff>3108960</xdr:colOff>
          <xdr:row>33</xdr:row>
          <xdr:rowOff>7620</xdr:rowOff>
        </xdr:to>
        <xdr:sp macro="" textlink="">
          <xdr:nvSpPr>
            <xdr:cNvPr id="73736" name="Check Box 8" hidden="1">
              <a:extLst>
                <a:ext uri="{63B3BB69-23CF-44E3-9099-C40C66FF867C}">
                  <a14:compatExt spid="_x0000_s73736"/>
                </a:ext>
                <a:ext uri="{FF2B5EF4-FFF2-40B4-BE49-F238E27FC236}">
                  <a16:creationId xmlns:a16="http://schemas.microsoft.com/office/drawing/2014/main" id="{00000000-0008-0000-0200-00000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3</xdr:col>
          <xdr:colOff>1021080</xdr:colOff>
          <xdr:row>34</xdr:row>
          <xdr:rowOff>160020</xdr:rowOff>
        </xdr:to>
        <xdr:sp macro="" textlink="">
          <xdr:nvSpPr>
            <xdr:cNvPr id="73737" name="Check Box 9" hidden="1">
              <a:extLst>
                <a:ext uri="{63B3BB69-23CF-44E3-9099-C40C66FF867C}">
                  <a14:compatExt spid="_x0000_s73737"/>
                </a:ext>
                <a:ext uri="{FF2B5EF4-FFF2-40B4-BE49-F238E27FC236}">
                  <a16:creationId xmlns:a16="http://schemas.microsoft.com/office/drawing/2014/main" id="{00000000-0008-0000-0200-00000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3</xdr:col>
          <xdr:colOff>1981200</xdr:colOff>
          <xdr:row>33</xdr:row>
          <xdr:rowOff>182880</xdr:rowOff>
        </xdr:to>
        <xdr:sp macro="" textlink="">
          <xdr:nvSpPr>
            <xdr:cNvPr id="73738" name="Check Box 10" hidden="1">
              <a:extLst>
                <a:ext uri="{63B3BB69-23CF-44E3-9099-C40C66FF867C}">
                  <a14:compatExt spid="_x0000_s73738"/>
                </a:ext>
                <a:ext uri="{FF2B5EF4-FFF2-40B4-BE49-F238E27FC236}">
                  <a16:creationId xmlns:a16="http://schemas.microsoft.com/office/drawing/2014/main" id="{00000000-0008-0000-0200-00000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6</xdr:col>
          <xdr:colOff>1013460</xdr:colOff>
          <xdr:row>39</xdr:row>
          <xdr:rowOff>0</xdr:rowOff>
        </xdr:to>
        <xdr:sp macro="" textlink="">
          <xdr:nvSpPr>
            <xdr:cNvPr id="73739" name="Check Box 11" hidden="1">
              <a:extLst>
                <a:ext uri="{63B3BB69-23CF-44E3-9099-C40C66FF867C}">
                  <a14:compatExt spid="_x0000_s73739"/>
                </a:ext>
                <a:ext uri="{FF2B5EF4-FFF2-40B4-BE49-F238E27FC236}">
                  <a16:creationId xmlns:a16="http://schemas.microsoft.com/office/drawing/2014/main" id="{00000000-0008-0000-0200-00000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73740" name="Check Box 12" hidden="1">
              <a:extLst>
                <a:ext uri="{63B3BB69-23CF-44E3-9099-C40C66FF867C}">
                  <a14:compatExt spid="_x0000_s73740"/>
                </a:ext>
                <a:ext uri="{FF2B5EF4-FFF2-40B4-BE49-F238E27FC236}">
                  <a16:creationId xmlns:a16="http://schemas.microsoft.com/office/drawing/2014/main" id="{00000000-0008-0000-0200-00000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2</xdr:col>
          <xdr:colOff>3108960</xdr:colOff>
          <xdr:row>33</xdr:row>
          <xdr:rowOff>7620</xdr:rowOff>
        </xdr:to>
        <xdr:sp macro="" textlink="">
          <xdr:nvSpPr>
            <xdr:cNvPr id="73741" name="Check Box 13" hidden="1">
              <a:extLst>
                <a:ext uri="{63B3BB69-23CF-44E3-9099-C40C66FF867C}">
                  <a14:compatExt spid="_x0000_s73741"/>
                </a:ext>
                <a:ext uri="{FF2B5EF4-FFF2-40B4-BE49-F238E27FC236}">
                  <a16:creationId xmlns:a16="http://schemas.microsoft.com/office/drawing/2014/main" id="{00000000-0008-0000-0200-00000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3</xdr:col>
          <xdr:colOff>1021080</xdr:colOff>
          <xdr:row>34</xdr:row>
          <xdr:rowOff>160020</xdr:rowOff>
        </xdr:to>
        <xdr:sp macro="" textlink="">
          <xdr:nvSpPr>
            <xdr:cNvPr id="73742" name="Check Box 14" hidden="1">
              <a:extLst>
                <a:ext uri="{63B3BB69-23CF-44E3-9099-C40C66FF867C}">
                  <a14:compatExt spid="_x0000_s73742"/>
                </a:ext>
                <a:ext uri="{FF2B5EF4-FFF2-40B4-BE49-F238E27FC236}">
                  <a16:creationId xmlns:a16="http://schemas.microsoft.com/office/drawing/2014/main" id="{00000000-0008-0000-0200-00000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3</xdr:col>
          <xdr:colOff>1981200</xdr:colOff>
          <xdr:row>33</xdr:row>
          <xdr:rowOff>182880</xdr:rowOff>
        </xdr:to>
        <xdr:sp macro="" textlink="">
          <xdr:nvSpPr>
            <xdr:cNvPr id="73743" name="Check Box 15" hidden="1">
              <a:extLst>
                <a:ext uri="{63B3BB69-23CF-44E3-9099-C40C66FF867C}">
                  <a14:compatExt spid="_x0000_s73743"/>
                </a:ext>
                <a:ext uri="{FF2B5EF4-FFF2-40B4-BE49-F238E27FC236}">
                  <a16:creationId xmlns:a16="http://schemas.microsoft.com/office/drawing/2014/main" id="{00000000-0008-0000-0200-00000F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30480</xdr:rowOff>
        </xdr:from>
        <xdr:to>
          <xdr:col>10</xdr:col>
          <xdr:colOff>22860</xdr:colOff>
          <xdr:row>36</xdr:row>
          <xdr:rowOff>160020</xdr:rowOff>
        </xdr:to>
        <xdr:sp macro="" textlink="">
          <xdr:nvSpPr>
            <xdr:cNvPr id="73744" name="Check Box 16" hidden="1">
              <a:extLst>
                <a:ext uri="{63B3BB69-23CF-44E3-9099-C40C66FF867C}">
                  <a14:compatExt spid="_x0000_s73744"/>
                </a:ext>
                <a:ext uri="{FF2B5EF4-FFF2-40B4-BE49-F238E27FC236}">
                  <a16:creationId xmlns:a16="http://schemas.microsoft.com/office/drawing/2014/main" id="{00000000-0008-0000-0200-00001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37</xdr:row>
          <xdr:rowOff>30480</xdr:rowOff>
        </xdr:from>
        <xdr:to>
          <xdr:col>10</xdr:col>
          <xdr:colOff>403860</xdr:colOff>
          <xdr:row>38</xdr:row>
          <xdr:rowOff>0</xdr:rowOff>
        </xdr:to>
        <xdr:sp macro="" textlink="">
          <xdr:nvSpPr>
            <xdr:cNvPr id="73745" name="Check Box 17" hidden="1">
              <a:extLst>
                <a:ext uri="{63B3BB69-23CF-44E3-9099-C40C66FF867C}">
                  <a14:compatExt spid="_x0000_s73745"/>
                </a:ext>
                <a:ext uri="{FF2B5EF4-FFF2-40B4-BE49-F238E27FC236}">
                  <a16:creationId xmlns:a16="http://schemas.microsoft.com/office/drawing/2014/main" id="{00000000-0008-0000-0200-00001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6</xdr:col>
          <xdr:colOff>1013460</xdr:colOff>
          <xdr:row>39</xdr:row>
          <xdr:rowOff>0</xdr:rowOff>
        </xdr:to>
        <xdr:sp macro="" textlink="">
          <xdr:nvSpPr>
            <xdr:cNvPr id="73746" name="Check Box 18" hidden="1">
              <a:extLst>
                <a:ext uri="{63B3BB69-23CF-44E3-9099-C40C66FF867C}">
                  <a14:compatExt spid="_x0000_s73746"/>
                </a:ext>
                <a:ext uri="{FF2B5EF4-FFF2-40B4-BE49-F238E27FC236}">
                  <a16:creationId xmlns:a16="http://schemas.microsoft.com/office/drawing/2014/main" id="{00000000-0008-0000-0200-00001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73747" name="Check Box 19" hidden="1">
              <a:extLst>
                <a:ext uri="{63B3BB69-23CF-44E3-9099-C40C66FF867C}">
                  <a14:compatExt spid="_x0000_s73747"/>
                </a:ext>
                <a:ext uri="{FF2B5EF4-FFF2-40B4-BE49-F238E27FC236}">
                  <a16:creationId xmlns:a16="http://schemas.microsoft.com/office/drawing/2014/main" id="{00000000-0008-0000-0200-00001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2</xdr:col>
          <xdr:colOff>3108960</xdr:colOff>
          <xdr:row>33</xdr:row>
          <xdr:rowOff>7620</xdr:rowOff>
        </xdr:to>
        <xdr:sp macro="" textlink="">
          <xdr:nvSpPr>
            <xdr:cNvPr id="73748" name="Check Box 20" hidden="1">
              <a:extLst>
                <a:ext uri="{63B3BB69-23CF-44E3-9099-C40C66FF867C}">
                  <a14:compatExt spid="_x0000_s73748"/>
                </a:ext>
                <a:ext uri="{FF2B5EF4-FFF2-40B4-BE49-F238E27FC236}">
                  <a16:creationId xmlns:a16="http://schemas.microsoft.com/office/drawing/2014/main" id="{00000000-0008-0000-0200-00001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3</xdr:col>
          <xdr:colOff>1021080</xdr:colOff>
          <xdr:row>34</xdr:row>
          <xdr:rowOff>160020</xdr:rowOff>
        </xdr:to>
        <xdr:sp macro="" textlink="">
          <xdr:nvSpPr>
            <xdr:cNvPr id="73749" name="Check Box 21" hidden="1">
              <a:extLst>
                <a:ext uri="{63B3BB69-23CF-44E3-9099-C40C66FF867C}">
                  <a14:compatExt spid="_x0000_s73749"/>
                </a:ext>
                <a:ext uri="{FF2B5EF4-FFF2-40B4-BE49-F238E27FC236}">
                  <a16:creationId xmlns:a16="http://schemas.microsoft.com/office/drawing/2014/main" id="{00000000-0008-0000-0200-00001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3</xdr:col>
          <xdr:colOff>1981200</xdr:colOff>
          <xdr:row>33</xdr:row>
          <xdr:rowOff>182880</xdr:rowOff>
        </xdr:to>
        <xdr:sp macro="" textlink="">
          <xdr:nvSpPr>
            <xdr:cNvPr id="73750" name="Check Box 22" hidden="1">
              <a:extLst>
                <a:ext uri="{63B3BB69-23CF-44E3-9099-C40C66FF867C}">
                  <a14:compatExt spid="_x0000_s73750"/>
                </a:ext>
                <a:ext uri="{FF2B5EF4-FFF2-40B4-BE49-F238E27FC236}">
                  <a16:creationId xmlns:a16="http://schemas.microsoft.com/office/drawing/2014/main" id="{00000000-0008-0000-0200-00001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6</xdr:col>
          <xdr:colOff>1013460</xdr:colOff>
          <xdr:row>39</xdr:row>
          <xdr:rowOff>0</xdr:rowOff>
        </xdr:to>
        <xdr:sp macro="" textlink="">
          <xdr:nvSpPr>
            <xdr:cNvPr id="73751" name="Check Box 23" hidden="1">
              <a:extLst>
                <a:ext uri="{63B3BB69-23CF-44E3-9099-C40C66FF867C}">
                  <a14:compatExt spid="_x0000_s73751"/>
                </a:ext>
                <a:ext uri="{FF2B5EF4-FFF2-40B4-BE49-F238E27FC236}">
                  <a16:creationId xmlns:a16="http://schemas.microsoft.com/office/drawing/2014/main" id="{00000000-0008-0000-0200-00001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73752" name="Check Box 24" hidden="1">
              <a:extLst>
                <a:ext uri="{63B3BB69-23CF-44E3-9099-C40C66FF867C}">
                  <a14:compatExt spid="_x0000_s73752"/>
                </a:ext>
                <a:ext uri="{FF2B5EF4-FFF2-40B4-BE49-F238E27FC236}">
                  <a16:creationId xmlns:a16="http://schemas.microsoft.com/office/drawing/2014/main" id="{00000000-0008-0000-0200-00001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2</xdr:col>
          <xdr:colOff>3108960</xdr:colOff>
          <xdr:row>33</xdr:row>
          <xdr:rowOff>7620</xdr:rowOff>
        </xdr:to>
        <xdr:sp macro="" textlink="">
          <xdr:nvSpPr>
            <xdr:cNvPr id="73753" name="Check Box 25" hidden="1">
              <a:extLst>
                <a:ext uri="{63B3BB69-23CF-44E3-9099-C40C66FF867C}">
                  <a14:compatExt spid="_x0000_s73753"/>
                </a:ext>
                <a:ext uri="{FF2B5EF4-FFF2-40B4-BE49-F238E27FC236}">
                  <a16:creationId xmlns:a16="http://schemas.microsoft.com/office/drawing/2014/main" id="{00000000-0008-0000-01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3</xdr:col>
          <xdr:colOff>1021080</xdr:colOff>
          <xdr:row>34</xdr:row>
          <xdr:rowOff>160020</xdr:rowOff>
        </xdr:to>
        <xdr:sp macro="" textlink="">
          <xdr:nvSpPr>
            <xdr:cNvPr id="73754" name="Check Box 26" hidden="1">
              <a:extLst>
                <a:ext uri="{63B3BB69-23CF-44E3-9099-C40C66FF867C}">
                  <a14:compatExt spid="_x0000_s73754"/>
                </a:ext>
                <a:ext uri="{FF2B5EF4-FFF2-40B4-BE49-F238E27FC236}">
                  <a16:creationId xmlns:a16="http://schemas.microsoft.com/office/drawing/2014/main" id="{00000000-0008-0000-01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3</xdr:col>
          <xdr:colOff>1935480</xdr:colOff>
          <xdr:row>33</xdr:row>
          <xdr:rowOff>182880</xdr:rowOff>
        </xdr:to>
        <xdr:sp macro="" textlink="">
          <xdr:nvSpPr>
            <xdr:cNvPr id="73755" name="Check Box 27" hidden="1">
              <a:extLst>
                <a:ext uri="{63B3BB69-23CF-44E3-9099-C40C66FF867C}">
                  <a14:compatExt spid="_x0000_s73755"/>
                </a:ext>
                <a:ext uri="{FF2B5EF4-FFF2-40B4-BE49-F238E27FC236}">
                  <a16:creationId xmlns:a16="http://schemas.microsoft.com/office/drawing/2014/main" id="{00000000-0008-0000-0100-00000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30480</xdr:rowOff>
        </xdr:from>
        <xdr:to>
          <xdr:col>10</xdr:col>
          <xdr:colOff>30480</xdr:colOff>
          <xdr:row>36</xdr:row>
          <xdr:rowOff>160020</xdr:rowOff>
        </xdr:to>
        <xdr:sp macro="" textlink="">
          <xdr:nvSpPr>
            <xdr:cNvPr id="73756" name="Check Box 28" hidden="1">
              <a:extLst>
                <a:ext uri="{63B3BB69-23CF-44E3-9099-C40C66FF867C}">
                  <a14:compatExt spid="_x0000_s73756"/>
                </a:ext>
                <a:ext uri="{FF2B5EF4-FFF2-40B4-BE49-F238E27FC236}">
                  <a16:creationId xmlns:a16="http://schemas.microsoft.com/office/drawing/2014/main" id="{00000000-0008-0000-0100-00000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37</xdr:row>
          <xdr:rowOff>30480</xdr:rowOff>
        </xdr:from>
        <xdr:to>
          <xdr:col>10</xdr:col>
          <xdr:colOff>403860</xdr:colOff>
          <xdr:row>38</xdr:row>
          <xdr:rowOff>0</xdr:rowOff>
        </xdr:to>
        <xdr:sp macro="" textlink="">
          <xdr:nvSpPr>
            <xdr:cNvPr id="73757" name="Check Box 29" hidden="1">
              <a:extLst>
                <a:ext uri="{63B3BB69-23CF-44E3-9099-C40C66FF867C}">
                  <a14:compatExt spid="_x0000_s73757"/>
                </a:ext>
                <a:ext uri="{FF2B5EF4-FFF2-40B4-BE49-F238E27FC236}">
                  <a16:creationId xmlns:a16="http://schemas.microsoft.com/office/drawing/2014/main" id="{00000000-0008-0000-0100-00000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6</xdr:col>
          <xdr:colOff>998220</xdr:colOff>
          <xdr:row>39</xdr:row>
          <xdr:rowOff>0</xdr:rowOff>
        </xdr:to>
        <xdr:sp macro="" textlink="">
          <xdr:nvSpPr>
            <xdr:cNvPr id="73758" name="Check Box 30" hidden="1">
              <a:extLst>
                <a:ext uri="{63B3BB69-23CF-44E3-9099-C40C66FF867C}">
                  <a14:compatExt spid="_x0000_s73758"/>
                </a:ext>
                <a:ext uri="{FF2B5EF4-FFF2-40B4-BE49-F238E27FC236}">
                  <a16:creationId xmlns:a16="http://schemas.microsoft.com/office/drawing/2014/main" id="{00000000-0008-0000-0100-00000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73759" name="Check Box 31" hidden="1">
              <a:extLst>
                <a:ext uri="{63B3BB69-23CF-44E3-9099-C40C66FF867C}">
                  <a14:compatExt spid="_x0000_s73759"/>
                </a:ext>
                <a:ext uri="{FF2B5EF4-FFF2-40B4-BE49-F238E27FC236}">
                  <a16:creationId xmlns:a16="http://schemas.microsoft.com/office/drawing/2014/main" id="{00000000-0008-0000-0100-00000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2</xdr:col>
          <xdr:colOff>3108960</xdr:colOff>
          <xdr:row>33</xdr:row>
          <xdr:rowOff>7620</xdr:rowOff>
        </xdr:to>
        <xdr:sp macro="" textlink="">
          <xdr:nvSpPr>
            <xdr:cNvPr id="73760" name="Check Box 32" hidden="1">
              <a:extLst>
                <a:ext uri="{63B3BB69-23CF-44E3-9099-C40C66FF867C}">
                  <a14:compatExt spid="_x0000_s73760"/>
                </a:ext>
                <a:ext uri="{FF2B5EF4-FFF2-40B4-BE49-F238E27FC236}">
                  <a16:creationId xmlns:a16="http://schemas.microsoft.com/office/drawing/2014/main" id="{00000000-0008-0000-0100-00000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3</xdr:col>
          <xdr:colOff>1021080</xdr:colOff>
          <xdr:row>34</xdr:row>
          <xdr:rowOff>160020</xdr:rowOff>
        </xdr:to>
        <xdr:sp macro="" textlink="">
          <xdr:nvSpPr>
            <xdr:cNvPr id="73761" name="Check Box 33" hidden="1">
              <a:extLst>
                <a:ext uri="{63B3BB69-23CF-44E3-9099-C40C66FF867C}">
                  <a14:compatExt spid="_x0000_s73761"/>
                </a:ext>
                <a:ext uri="{FF2B5EF4-FFF2-40B4-BE49-F238E27FC236}">
                  <a16:creationId xmlns:a16="http://schemas.microsoft.com/office/drawing/2014/main" id="{00000000-0008-0000-0100-00000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3</xdr:col>
          <xdr:colOff>1935480</xdr:colOff>
          <xdr:row>33</xdr:row>
          <xdr:rowOff>182880</xdr:rowOff>
        </xdr:to>
        <xdr:sp macro="" textlink="">
          <xdr:nvSpPr>
            <xdr:cNvPr id="73762" name="Check Box 34" hidden="1">
              <a:extLst>
                <a:ext uri="{63B3BB69-23CF-44E3-9099-C40C66FF867C}">
                  <a14:compatExt spid="_x0000_s73762"/>
                </a:ext>
                <a:ext uri="{FF2B5EF4-FFF2-40B4-BE49-F238E27FC236}">
                  <a16:creationId xmlns:a16="http://schemas.microsoft.com/office/drawing/2014/main" id="{00000000-0008-0000-0100-00000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6</xdr:col>
          <xdr:colOff>998220</xdr:colOff>
          <xdr:row>39</xdr:row>
          <xdr:rowOff>0</xdr:rowOff>
        </xdr:to>
        <xdr:sp macro="" textlink="">
          <xdr:nvSpPr>
            <xdr:cNvPr id="73763" name="Check Box 35" hidden="1">
              <a:extLst>
                <a:ext uri="{63B3BB69-23CF-44E3-9099-C40C66FF867C}">
                  <a14:compatExt spid="_x0000_s73763"/>
                </a:ext>
                <a:ext uri="{FF2B5EF4-FFF2-40B4-BE49-F238E27FC236}">
                  <a16:creationId xmlns:a16="http://schemas.microsoft.com/office/drawing/2014/main" id="{00000000-0008-0000-0100-00000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73764" name="Check Box 36" hidden="1">
              <a:extLst>
                <a:ext uri="{63B3BB69-23CF-44E3-9099-C40C66FF867C}">
                  <a14:compatExt spid="_x0000_s73764"/>
                </a:ext>
                <a:ext uri="{FF2B5EF4-FFF2-40B4-BE49-F238E27FC236}">
                  <a16:creationId xmlns:a16="http://schemas.microsoft.com/office/drawing/2014/main" id="{00000000-0008-0000-0100-00000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2</xdr:col>
          <xdr:colOff>3108960</xdr:colOff>
          <xdr:row>33</xdr:row>
          <xdr:rowOff>7620</xdr:rowOff>
        </xdr:to>
        <xdr:sp macro="" textlink="">
          <xdr:nvSpPr>
            <xdr:cNvPr id="73765" name="Check Box 37" hidden="1">
              <a:extLst>
                <a:ext uri="{63B3BB69-23CF-44E3-9099-C40C66FF867C}">
                  <a14:compatExt spid="_x0000_s73765"/>
                </a:ext>
                <a:ext uri="{FF2B5EF4-FFF2-40B4-BE49-F238E27FC236}">
                  <a16:creationId xmlns:a16="http://schemas.microsoft.com/office/drawing/2014/main" id="{00000000-0008-0000-0100-00000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3</xdr:col>
          <xdr:colOff>1021080</xdr:colOff>
          <xdr:row>34</xdr:row>
          <xdr:rowOff>160020</xdr:rowOff>
        </xdr:to>
        <xdr:sp macro="" textlink="">
          <xdr:nvSpPr>
            <xdr:cNvPr id="73766" name="Check Box 38" hidden="1">
              <a:extLst>
                <a:ext uri="{63B3BB69-23CF-44E3-9099-C40C66FF867C}">
                  <a14:compatExt spid="_x0000_s73766"/>
                </a:ext>
                <a:ext uri="{FF2B5EF4-FFF2-40B4-BE49-F238E27FC236}">
                  <a16:creationId xmlns:a16="http://schemas.microsoft.com/office/drawing/2014/main" id="{00000000-0008-0000-0100-00000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3</xdr:col>
          <xdr:colOff>1935480</xdr:colOff>
          <xdr:row>33</xdr:row>
          <xdr:rowOff>182880</xdr:rowOff>
        </xdr:to>
        <xdr:sp macro="" textlink="">
          <xdr:nvSpPr>
            <xdr:cNvPr id="73767" name="Check Box 39" hidden="1">
              <a:extLst>
                <a:ext uri="{63B3BB69-23CF-44E3-9099-C40C66FF867C}">
                  <a14:compatExt spid="_x0000_s73767"/>
                </a:ext>
                <a:ext uri="{FF2B5EF4-FFF2-40B4-BE49-F238E27FC236}">
                  <a16:creationId xmlns:a16="http://schemas.microsoft.com/office/drawing/2014/main" id="{00000000-0008-0000-0100-00000F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30480</xdr:rowOff>
        </xdr:from>
        <xdr:to>
          <xdr:col>10</xdr:col>
          <xdr:colOff>30480</xdr:colOff>
          <xdr:row>36</xdr:row>
          <xdr:rowOff>160020</xdr:rowOff>
        </xdr:to>
        <xdr:sp macro="" textlink="">
          <xdr:nvSpPr>
            <xdr:cNvPr id="73768" name="Check Box 40" hidden="1">
              <a:extLst>
                <a:ext uri="{63B3BB69-23CF-44E3-9099-C40C66FF867C}">
                  <a14:compatExt spid="_x0000_s73768"/>
                </a:ext>
                <a:ext uri="{FF2B5EF4-FFF2-40B4-BE49-F238E27FC236}">
                  <a16:creationId xmlns:a16="http://schemas.microsoft.com/office/drawing/2014/main" id="{00000000-0008-0000-0100-00001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37</xdr:row>
          <xdr:rowOff>30480</xdr:rowOff>
        </xdr:from>
        <xdr:to>
          <xdr:col>10</xdr:col>
          <xdr:colOff>403860</xdr:colOff>
          <xdr:row>38</xdr:row>
          <xdr:rowOff>0</xdr:rowOff>
        </xdr:to>
        <xdr:sp macro="" textlink="">
          <xdr:nvSpPr>
            <xdr:cNvPr id="73769" name="Check Box 41" hidden="1">
              <a:extLst>
                <a:ext uri="{63B3BB69-23CF-44E3-9099-C40C66FF867C}">
                  <a14:compatExt spid="_x0000_s73769"/>
                </a:ext>
                <a:ext uri="{FF2B5EF4-FFF2-40B4-BE49-F238E27FC236}">
                  <a16:creationId xmlns:a16="http://schemas.microsoft.com/office/drawing/2014/main" id="{00000000-0008-0000-0100-00001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6</xdr:col>
          <xdr:colOff>998220</xdr:colOff>
          <xdr:row>39</xdr:row>
          <xdr:rowOff>0</xdr:rowOff>
        </xdr:to>
        <xdr:sp macro="" textlink="">
          <xdr:nvSpPr>
            <xdr:cNvPr id="73770" name="Check Box 42" hidden="1">
              <a:extLst>
                <a:ext uri="{63B3BB69-23CF-44E3-9099-C40C66FF867C}">
                  <a14:compatExt spid="_x0000_s73770"/>
                </a:ext>
                <a:ext uri="{FF2B5EF4-FFF2-40B4-BE49-F238E27FC236}">
                  <a16:creationId xmlns:a16="http://schemas.microsoft.com/office/drawing/2014/main" id="{00000000-0008-0000-0100-00001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73771" name="Check Box 43" hidden="1">
              <a:extLst>
                <a:ext uri="{63B3BB69-23CF-44E3-9099-C40C66FF867C}">
                  <a14:compatExt spid="_x0000_s73771"/>
                </a:ext>
                <a:ext uri="{FF2B5EF4-FFF2-40B4-BE49-F238E27FC236}">
                  <a16:creationId xmlns:a16="http://schemas.microsoft.com/office/drawing/2014/main" id="{00000000-0008-0000-0100-00001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2</xdr:col>
          <xdr:colOff>3108960</xdr:colOff>
          <xdr:row>33</xdr:row>
          <xdr:rowOff>7620</xdr:rowOff>
        </xdr:to>
        <xdr:sp macro="" textlink="">
          <xdr:nvSpPr>
            <xdr:cNvPr id="73772" name="Check Box 44" hidden="1">
              <a:extLst>
                <a:ext uri="{63B3BB69-23CF-44E3-9099-C40C66FF867C}">
                  <a14:compatExt spid="_x0000_s73772"/>
                </a:ext>
                <a:ext uri="{FF2B5EF4-FFF2-40B4-BE49-F238E27FC236}">
                  <a16:creationId xmlns:a16="http://schemas.microsoft.com/office/drawing/2014/main" id="{00000000-0008-0000-0100-00001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3</xdr:col>
          <xdr:colOff>1021080</xdr:colOff>
          <xdr:row>34</xdr:row>
          <xdr:rowOff>160020</xdr:rowOff>
        </xdr:to>
        <xdr:sp macro="" textlink="">
          <xdr:nvSpPr>
            <xdr:cNvPr id="73773" name="Check Box 45" hidden="1">
              <a:extLst>
                <a:ext uri="{63B3BB69-23CF-44E3-9099-C40C66FF867C}">
                  <a14:compatExt spid="_x0000_s73773"/>
                </a:ext>
                <a:ext uri="{FF2B5EF4-FFF2-40B4-BE49-F238E27FC236}">
                  <a16:creationId xmlns:a16="http://schemas.microsoft.com/office/drawing/2014/main" id="{00000000-0008-0000-0100-00001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3</xdr:col>
          <xdr:colOff>1935480</xdr:colOff>
          <xdr:row>33</xdr:row>
          <xdr:rowOff>182880</xdr:rowOff>
        </xdr:to>
        <xdr:sp macro="" textlink="">
          <xdr:nvSpPr>
            <xdr:cNvPr id="73774" name="Check Box 46" hidden="1">
              <a:extLst>
                <a:ext uri="{63B3BB69-23CF-44E3-9099-C40C66FF867C}">
                  <a14:compatExt spid="_x0000_s73774"/>
                </a:ext>
                <a:ext uri="{FF2B5EF4-FFF2-40B4-BE49-F238E27FC236}">
                  <a16:creationId xmlns:a16="http://schemas.microsoft.com/office/drawing/2014/main" id="{00000000-0008-0000-0100-00001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6</xdr:col>
          <xdr:colOff>998220</xdr:colOff>
          <xdr:row>39</xdr:row>
          <xdr:rowOff>0</xdr:rowOff>
        </xdr:to>
        <xdr:sp macro="" textlink="">
          <xdr:nvSpPr>
            <xdr:cNvPr id="73775" name="Check Box 47" hidden="1">
              <a:extLst>
                <a:ext uri="{63B3BB69-23CF-44E3-9099-C40C66FF867C}">
                  <a14:compatExt spid="_x0000_s73775"/>
                </a:ext>
                <a:ext uri="{FF2B5EF4-FFF2-40B4-BE49-F238E27FC236}">
                  <a16:creationId xmlns:a16="http://schemas.microsoft.com/office/drawing/2014/main" id="{00000000-0008-0000-0100-00001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73776" name="Check Box 48" hidden="1">
              <a:extLst>
                <a:ext uri="{63B3BB69-23CF-44E3-9099-C40C66FF867C}">
                  <a14:compatExt spid="_x0000_s73776"/>
                </a:ext>
                <a:ext uri="{FF2B5EF4-FFF2-40B4-BE49-F238E27FC236}">
                  <a16:creationId xmlns:a16="http://schemas.microsoft.com/office/drawing/2014/main" id="{00000000-0008-0000-0100-00001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2</xdr:col>
          <xdr:colOff>3108960</xdr:colOff>
          <xdr:row>33</xdr:row>
          <xdr:rowOff>7620</xdr:rowOff>
        </xdr:to>
        <xdr:sp macro="" textlink="">
          <xdr:nvSpPr>
            <xdr:cNvPr id="72705" name="Check Box 1" hidden="1">
              <a:extLst>
                <a:ext uri="{63B3BB69-23CF-44E3-9099-C40C66FF867C}">
                  <a14:compatExt spid="_x0000_s72705"/>
                </a:ext>
                <a:ext uri="{FF2B5EF4-FFF2-40B4-BE49-F238E27FC236}">
                  <a16:creationId xmlns:a16="http://schemas.microsoft.com/office/drawing/2014/main" id="{00000000-0008-0000-02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3</xdr:col>
          <xdr:colOff>1021080</xdr:colOff>
          <xdr:row>34</xdr:row>
          <xdr:rowOff>160020</xdr:rowOff>
        </xdr:to>
        <xdr:sp macro="" textlink="">
          <xdr:nvSpPr>
            <xdr:cNvPr id="72706" name="Check Box 2" hidden="1">
              <a:extLst>
                <a:ext uri="{63B3BB69-23CF-44E3-9099-C40C66FF867C}">
                  <a14:compatExt spid="_x0000_s72706"/>
                </a:ext>
                <a:ext uri="{FF2B5EF4-FFF2-40B4-BE49-F238E27FC236}">
                  <a16:creationId xmlns:a16="http://schemas.microsoft.com/office/drawing/2014/main" id="{00000000-0008-0000-02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4</xdr:col>
          <xdr:colOff>335280</xdr:colOff>
          <xdr:row>33</xdr:row>
          <xdr:rowOff>182880</xdr:rowOff>
        </xdr:to>
        <xdr:sp macro="" textlink="">
          <xdr:nvSpPr>
            <xdr:cNvPr id="72707" name="Check Box 3" hidden="1">
              <a:extLst>
                <a:ext uri="{63B3BB69-23CF-44E3-9099-C40C66FF867C}">
                  <a14:compatExt spid="_x0000_s72707"/>
                </a:ext>
                <a:ext uri="{FF2B5EF4-FFF2-40B4-BE49-F238E27FC236}">
                  <a16:creationId xmlns:a16="http://schemas.microsoft.com/office/drawing/2014/main" id="{00000000-0008-0000-0200-00000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30480</xdr:rowOff>
        </xdr:from>
        <xdr:to>
          <xdr:col>13</xdr:col>
          <xdr:colOff>213360</xdr:colOff>
          <xdr:row>36</xdr:row>
          <xdr:rowOff>160020</xdr:rowOff>
        </xdr:to>
        <xdr:sp macro="" textlink="">
          <xdr:nvSpPr>
            <xdr:cNvPr id="72708" name="Check Box 4" hidden="1">
              <a:extLst>
                <a:ext uri="{63B3BB69-23CF-44E3-9099-C40C66FF867C}">
                  <a14:compatExt spid="_x0000_s72708"/>
                </a:ext>
                <a:ext uri="{FF2B5EF4-FFF2-40B4-BE49-F238E27FC236}">
                  <a16:creationId xmlns:a16="http://schemas.microsoft.com/office/drawing/2014/main" id="{00000000-0008-0000-0200-00000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37</xdr:row>
          <xdr:rowOff>30480</xdr:rowOff>
        </xdr:from>
        <xdr:to>
          <xdr:col>13</xdr:col>
          <xdr:colOff>601980</xdr:colOff>
          <xdr:row>38</xdr:row>
          <xdr:rowOff>0</xdr:rowOff>
        </xdr:to>
        <xdr:sp macro="" textlink="">
          <xdr:nvSpPr>
            <xdr:cNvPr id="72709" name="Check Box 5" hidden="1">
              <a:extLst>
                <a:ext uri="{63B3BB69-23CF-44E3-9099-C40C66FF867C}">
                  <a14:compatExt spid="_x0000_s72709"/>
                </a:ext>
                <a:ext uri="{FF2B5EF4-FFF2-40B4-BE49-F238E27FC236}">
                  <a16:creationId xmlns:a16="http://schemas.microsoft.com/office/drawing/2014/main" id="{00000000-0008-0000-0200-00000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11</xdr:col>
          <xdr:colOff>518160</xdr:colOff>
          <xdr:row>39</xdr:row>
          <xdr:rowOff>0</xdr:rowOff>
        </xdr:to>
        <xdr:sp macro="" textlink="">
          <xdr:nvSpPr>
            <xdr:cNvPr id="72710" name="Check Box 6" hidden="1">
              <a:extLst>
                <a:ext uri="{63B3BB69-23CF-44E3-9099-C40C66FF867C}">
                  <a14:compatExt spid="_x0000_s72710"/>
                </a:ext>
                <a:ext uri="{FF2B5EF4-FFF2-40B4-BE49-F238E27FC236}">
                  <a16:creationId xmlns:a16="http://schemas.microsoft.com/office/drawing/2014/main" id="{00000000-0008-0000-0200-00000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72711" name="Check Box 7" hidden="1">
              <a:extLst>
                <a:ext uri="{63B3BB69-23CF-44E3-9099-C40C66FF867C}">
                  <a14:compatExt spid="_x0000_s72711"/>
                </a:ext>
                <a:ext uri="{FF2B5EF4-FFF2-40B4-BE49-F238E27FC236}">
                  <a16:creationId xmlns:a16="http://schemas.microsoft.com/office/drawing/2014/main" id="{00000000-0008-0000-0200-00000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2</xdr:col>
          <xdr:colOff>3108960</xdr:colOff>
          <xdr:row>33</xdr:row>
          <xdr:rowOff>7620</xdr:rowOff>
        </xdr:to>
        <xdr:sp macro="" textlink="">
          <xdr:nvSpPr>
            <xdr:cNvPr id="72712" name="Check Box 8" hidden="1">
              <a:extLst>
                <a:ext uri="{63B3BB69-23CF-44E3-9099-C40C66FF867C}">
                  <a14:compatExt spid="_x0000_s72712"/>
                </a:ext>
                <a:ext uri="{FF2B5EF4-FFF2-40B4-BE49-F238E27FC236}">
                  <a16:creationId xmlns:a16="http://schemas.microsoft.com/office/drawing/2014/main" id="{00000000-0008-0000-0200-00000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3</xdr:col>
          <xdr:colOff>1021080</xdr:colOff>
          <xdr:row>34</xdr:row>
          <xdr:rowOff>160020</xdr:rowOff>
        </xdr:to>
        <xdr:sp macro="" textlink="">
          <xdr:nvSpPr>
            <xdr:cNvPr id="72713" name="Check Box 9" hidden="1">
              <a:extLst>
                <a:ext uri="{63B3BB69-23CF-44E3-9099-C40C66FF867C}">
                  <a14:compatExt spid="_x0000_s72713"/>
                </a:ext>
                <a:ext uri="{FF2B5EF4-FFF2-40B4-BE49-F238E27FC236}">
                  <a16:creationId xmlns:a16="http://schemas.microsoft.com/office/drawing/2014/main" id="{00000000-0008-0000-0200-00000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4</xdr:col>
          <xdr:colOff>335280</xdr:colOff>
          <xdr:row>33</xdr:row>
          <xdr:rowOff>182880</xdr:rowOff>
        </xdr:to>
        <xdr:sp macro="" textlink="">
          <xdr:nvSpPr>
            <xdr:cNvPr id="72714" name="Check Box 10" hidden="1">
              <a:extLst>
                <a:ext uri="{63B3BB69-23CF-44E3-9099-C40C66FF867C}">
                  <a14:compatExt spid="_x0000_s72714"/>
                </a:ext>
                <a:ext uri="{FF2B5EF4-FFF2-40B4-BE49-F238E27FC236}">
                  <a16:creationId xmlns:a16="http://schemas.microsoft.com/office/drawing/2014/main" id="{00000000-0008-0000-0200-00000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11</xdr:col>
          <xdr:colOff>518160</xdr:colOff>
          <xdr:row>39</xdr:row>
          <xdr:rowOff>0</xdr:rowOff>
        </xdr:to>
        <xdr:sp macro="" textlink="">
          <xdr:nvSpPr>
            <xdr:cNvPr id="72715" name="Check Box 11" hidden="1">
              <a:extLst>
                <a:ext uri="{63B3BB69-23CF-44E3-9099-C40C66FF867C}">
                  <a14:compatExt spid="_x0000_s72715"/>
                </a:ext>
                <a:ext uri="{FF2B5EF4-FFF2-40B4-BE49-F238E27FC236}">
                  <a16:creationId xmlns:a16="http://schemas.microsoft.com/office/drawing/2014/main" id="{00000000-0008-0000-0200-00000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72716" name="Check Box 12" hidden="1">
              <a:extLst>
                <a:ext uri="{63B3BB69-23CF-44E3-9099-C40C66FF867C}">
                  <a14:compatExt spid="_x0000_s72716"/>
                </a:ext>
                <a:ext uri="{FF2B5EF4-FFF2-40B4-BE49-F238E27FC236}">
                  <a16:creationId xmlns:a16="http://schemas.microsoft.com/office/drawing/2014/main" id="{00000000-0008-0000-0200-00000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2</xdr:col>
          <xdr:colOff>3108960</xdr:colOff>
          <xdr:row>33</xdr:row>
          <xdr:rowOff>7620</xdr:rowOff>
        </xdr:to>
        <xdr:sp macro="" textlink="">
          <xdr:nvSpPr>
            <xdr:cNvPr id="72717" name="Check Box 13" hidden="1">
              <a:extLst>
                <a:ext uri="{63B3BB69-23CF-44E3-9099-C40C66FF867C}">
                  <a14:compatExt spid="_x0000_s72717"/>
                </a:ext>
                <a:ext uri="{FF2B5EF4-FFF2-40B4-BE49-F238E27FC236}">
                  <a16:creationId xmlns:a16="http://schemas.microsoft.com/office/drawing/2014/main" id="{00000000-0008-0000-0200-00000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3</xdr:col>
          <xdr:colOff>1021080</xdr:colOff>
          <xdr:row>34</xdr:row>
          <xdr:rowOff>160020</xdr:rowOff>
        </xdr:to>
        <xdr:sp macro="" textlink="">
          <xdr:nvSpPr>
            <xdr:cNvPr id="72718" name="Check Box 14" hidden="1">
              <a:extLst>
                <a:ext uri="{63B3BB69-23CF-44E3-9099-C40C66FF867C}">
                  <a14:compatExt spid="_x0000_s72718"/>
                </a:ext>
                <a:ext uri="{FF2B5EF4-FFF2-40B4-BE49-F238E27FC236}">
                  <a16:creationId xmlns:a16="http://schemas.microsoft.com/office/drawing/2014/main" id="{00000000-0008-0000-0200-00000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4</xdr:col>
          <xdr:colOff>335280</xdr:colOff>
          <xdr:row>33</xdr:row>
          <xdr:rowOff>182880</xdr:rowOff>
        </xdr:to>
        <xdr:sp macro="" textlink="">
          <xdr:nvSpPr>
            <xdr:cNvPr id="72719" name="Check Box 15" hidden="1">
              <a:extLst>
                <a:ext uri="{63B3BB69-23CF-44E3-9099-C40C66FF867C}">
                  <a14:compatExt spid="_x0000_s72719"/>
                </a:ext>
                <a:ext uri="{FF2B5EF4-FFF2-40B4-BE49-F238E27FC236}">
                  <a16:creationId xmlns:a16="http://schemas.microsoft.com/office/drawing/2014/main" id="{00000000-0008-0000-0200-00000F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30480</xdr:rowOff>
        </xdr:from>
        <xdr:to>
          <xdr:col>13</xdr:col>
          <xdr:colOff>213360</xdr:colOff>
          <xdr:row>36</xdr:row>
          <xdr:rowOff>160020</xdr:rowOff>
        </xdr:to>
        <xdr:sp macro="" textlink="">
          <xdr:nvSpPr>
            <xdr:cNvPr id="72720" name="Check Box 16" hidden="1">
              <a:extLst>
                <a:ext uri="{63B3BB69-23CF-44E3-9099-C40C66FF867C}">
                  <a14:compatExt spid="_x0000_s72720"/>
                </a:ext>
                <a:ext uri="{FF2B5EF4-FFF2-40B4-BE49-F238E27FC236}">
                  <a16:creationId xmlns:a16="http://schemas.microsoft.com/office/drawing/2014/main" id="{00000000-0008-0000-0200-00001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37</xdr:row>
          <xdr:rowOff>30480</xdr:rowOff>
        </xdr:from>
        <xdr:to>
          <xdr:col>13</xdr:col>
          <xdr:colOff>601980</xdr:colOff>
          <xdr:row>38</xdr:row>
          <xdr:rowOff>0</xdr:rowOff>
        </xdr:to>
        <xdr:sp macro="" textlink="">
          <xdr:nvSpPr>
            <xdr:cNvPr id="72721" name="Check Box 17" hidden="1">
              <a:extLst>
                <a:ext uri="{63B3BB69-23CF-44E3-9099-C40C66FF867C}">
                  <a14:compatExt spid="_x0000_s72721"/>
                </a:ext>
                <a:ext uri="{FF2B5EF4-FFF2-40B4-BE49-F238E27FC236}">
                  <a16:creationId xmlns:a16="http://schemas.microsoft.com/office/drawing/2014/main" id="{00000000-0008-0000-0200-00001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11</xdr:col>
          <xdr:colOff>518160</xdr:colOff>
          <xdr:row>39</xdr:row>
          <xdr:rowOff>0</xdr:rowOff>
        </xdr:to>
        <xdr:sp macro="" textlink="">
          <xdr:nvSpPr>
            <xdr:cNvPr id="72722" name="Check Box 18" hidden="1">
              <a:extLst>
                <a:ext uri="{63B3BB69-23CF-44E3-9099-C40C66FF867C}">
                  <a14:compatExt spid="_x0000_s72722"/>
                </a:ext>
                <a:ext uri="{FF2B5EF4-FFF2-40B4-BE49-F238E27FC236}">
                  <a16:creationId xmlns:a16="http://schemas.microsoft.com/office/drawing/2014/main" id="{00000000-0008-0000-0200-00001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72723" name="Check Box 19" hidden="1">
              <a:extLst>
                <a:ext uri="{63B3BB69-23CF-44E3-9099-C40C66FF867C}">
                  <a14:compatExt spid="_x0000_s72723"/>
                </a:ext>
                <a:ext uri="{FF2B5EF4-FFF2-40B4-BE49-F238E27FC236}">
                  <a16:creationId xmlns:a16="http://schemas.microsoft.com/office/drawing/2014/main" id="{00000000-0008-0000-0200-00001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2</xdr:col>
          <xdr:colOff>3108960</xdr:colOff>
          <xdr:row>33</xdr:row>
          <xdr:rowOff>7620</xdr:rowOff>
        </xdr:to>
        <xdr:sp macro="" textlink="">
          <xdr:nvSpPr>
            <xdr:cNvPr id="72724" name="Check Box 20" hidden="1">
              <a:extLst>
                <a:ext uri="{63B3BB69-23CF-44E3-9099-C40C66FF867C}">
                  <a14:compatExt spid="_x0000_s72724"/>
                </a:ext>
                <a:ext uri="{FF2B5EF4-FFF2-40B4-BE49-F238E27FC236}">
                  <a16:creationId xmlns:a16="http://schemas.microsoft.com/office/drawing/2014/main" id="{00000000-0008-0000-0200-00001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3</xdr:col>
          <xdr:colOff>1021080</xdr:colOff>
          <xdr:row>34</xdr:row>
          <xdr:rowOff>160020</xdr:rowOff>
        </xdr:to>
        <xdr:sp macro="" textlink="">
          <xdr:nvSpPr>
            <xdr:cNvPr id="72725" name="Check Box 21" hidden="1">
              <a:extLst>
                <a:ext uri="{63B3BB69-23CF-44E3-9099-C40C66FF867C}">
                  <a14:compatExt spid="_x0000_s72725"/>
                </a:ext>
                <a:ext uri="{FF2B5EF4-FFF2-40B4-BE49-F238E27FC236}">
                  <a16:creationId xmlns:a16="http://schemas.microsoft.com/office/drawing/2014/main" id="{00000000-0008-0000-0200-00001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4</xdr:col>
          <xdr:colOff>335280</xdr:colOff>
          <xdr:row>33</xdr:row>
          <xdr:rowOff>182880</xdr:rowOff>
        </xdr:to>
        <xdr:sp macro="" textlink="">
          <xdr:nvSpPr>
            <xdr:cNvPr id="72726" name="Check Box 22" hidden="1">
              <a:extLst>
                <a:ext uri="{63B3BB69-23CF-44E3-9099-C40C66FF867C}">
                  <a14:compatExt spid="_x0000_s72726"/>
                </a:ext>
                <a:ext uri="{FF2B5EF4-FFF2-40B4-BE49-F238E27FC236}">
                  <a16:creationId xmlns:a16="http://schemas.microsoft.com/office/drawing/2014/main" id="{00000000-0008-0000-0200-00001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11</xdr:col>
          <xdr:colOff>518160</xdr:colOff>
          <xdr:row>39</xdr:row>
          <xdr:rowOff>0</xdr:rowOff>
        </xdr:to>
        <xdr:sp macro="" textlink="">
          <xdr:nvSpPr>
            <xdr:cNvPr id="72727" name="Check Box 23" hidden="1">
              <a:extLst>
                <a:ext uri="{63B3BB69-23CF-44E3-9099-C40C66FF867C}">
                  <a14:compatExt spid="_x0000_s72727"/>
                </a:ext>
                <a:ext uri="{FF2B5EF4-FFF2-40B4-BE49-F238E27FC236}">
                  <a16:creationId xmlns:a16="http://schemas.microsoft.com/office/drawing/2014/main" id="{00000000-0008-0000-0200-00001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72728" name="Check Box 24" hidden="1">
              <a:extLst>
                <a:ext uri="{63B3BB69-23CF-44E3-9099-C40C66FF867C}">
                  <a14:compatExt spid="_x0000_s72728"/>
                </a:ext>
                <a:ext uri="{FF2B5EF4-FFF2-40B4-BE49-F238E27FC236}">
                  <a16:creationId xmlns:a16="http://schemas.microsoft.com/office/drawing/2014/main" id="{00000000-0008-0000-0200-00001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35</xdr:row>
          <xdr:rowOff>0</xdr:rowOff>
        </xdr:from>
        <xdr:to>
          <xdr:col>2</xdr:col>
          <xdr:colOff>3108960</xdr:colOff>
          <xdr:row>36</xdr:row>
          <xdr:rowOff>7620</xdr:rowOff>
        </xdr:to>
        <xdr:sp macro="" textlink="">
          <xdr:nvSpPr>
            <xdr:cNvPr id="72729" name="Check Box 25" hidden="1">
              <a:extLst>
                <a:ext uri="{63B3BB69-23CF-44E3-9099-C40C66FF867C}">
                  <a14:compatExt spid="_x0000_s72729"/>
                </a:ext>
                <a:ext uri="{FF2B5EF4-FFF2-40B4-BE49-F238E27FC236}">
                  <a16:creationId xmlns:a16="http://schemas.microsoft.com/office/drawing/2014/main" id="{00000000-0008-0000-02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37</xdr:row>
          <xdr:rowOff>0</xdr:rowOff>
        </xdr:from>
        <xdr:to>
          <xdr:col>3</xdr:col>
          <xdr:colOff>1021080</xdr:colOff>
          <xdr:row>37</xdr:row>
          <xdr:rowOff>160020</xdr:rowOff>
        </xdr:to>
        <xdr:sp macro="" textlink="">
          <xdr:nvSpPr>
            <xdr:cNvPr id="72730" name="Check Box 26" hidden="1">
              <a:extLst>
                <a:ext uri="{63B3BB69-23CF-44E3-9099-C40C66FF867C}">
                  <a14:compatExt spid="_x0000_s72730"/>
                </a:ext>
                <a:ext uri="{FF2B5EF4-FFF2-40B4-BE49-F238E27FC236}">
                  <a16:creationId xmlns:a16="http://schemas.microsoft.com/office/drawing/2014/main" id="{00000000-0008-0000-02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35</xdr:row>
          <xdr:rowOff>182880</xdr:rowOff>
        </xdr:from>
        <xdr:to>
          <xdr:col>4</xdr:col>
          <xdr:colOff>335280</xdr:colOff>
          <xdr:row>37</xdr:row>
          <xdr:rowOff>22860</xdr:rowOff>
        </xdr:to>
        <xdr:sp macro="" textlink="">
          <xdr:nvSpPr>
            <xdr:cNvPr id="72731" name="Check Box 27" hidden="1">
              <a:extLst>
                <a:ext uri="{63B3BB69-23CF-44E3-9099-C40C66FF867C}">
                  <a14:compatExt spid="_x0000_s72731"/>
                </a:ext>
                <a:ext uri="{FF2B5EF4-FFF2-40B4-BE49-F238E27FC236}">
                  <a16:creationId xmlns:a16="http://schemas.microsoft.com/office/drawing/2014/main" id="{00000000-0008-0000-0200-00000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39</xdr:row>
          <xdr:rowOff>30480</xdr:rowOff>
        </xdr:from>
        <xdr:to>
          <xdr:col>13</xdr:col>
          <xdr:colOff>220980</xdr:colOff>
          <xdr:row>39</xdr:row>
          <xdr:rowOff>160020</xdr:rowOff>
        </xdr:to>
        <xdr:sp macro="" textlink="">
          <xdr:nvSpPr>
            <xdr:cNvPr id="72732" name="Check Box 28" hidden="1">
              <a:extLst>
                <a:ext uri="{63B3BB69-23CF-44E3-9099-C40C66FF867C}">
                  <a14:compatExt spid="_x0000_s72732"/>
                </a:ext>
                <a:ext uri="{FF2B5EF4-FFF2-40B4-BE49-F238E27FC236}">
                  <a16:creationId xmlns:a16="http://schemas.microsoft.com/office/drawing/2014/main" id="{00000000-0008-0000-0200-00000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40</xdr:row>
          <xdr:rowOff>30480</xdr:rowOff>
        </xdr:from>
        <xdr:to>
          <xdr:col>13</xdr:col>
          <xdr:colOff>594360</xdr:colOff>
          <xdr:row>41</xdr:row>
          <xdr:rowOff>0</xdr:rowOff>
        </xdr:to>
        <xdr:sp macro="" textlink="">
          <xdr:nvSpPr>
            <xdr:cNvPr id="72733" name="Check Box 29" hidden="1">
              <a:extLst>
                <a:ext uri="{63B3BB69-23CF-44E3-9099-C40C66FF867C}">
                  <a14:compatExt spid="_x0000_s72733"/>
                </a:ext>
                <a:ext uri="{FF2B5EF4-FFF2-40B4-BE49-F238E27FC236}">
                  <a16:creationId xmlns:a16="http://schemas.microsoft.com/office/drawing/2014/main" id="{00000000-0008-0000-0200-00000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41</xdr:row>
          <xdr:rowOff>7620</xdr:rowOff>
        </xdr:from>
        <xdr:to>
          <xdr:col>11</xdr:col>
          <xdr:colOff>525780</xdr:colOff>
          <xdr:row>41</xdr:row>
          <xdr:rowOff>190500</xdr:rowOff>
        </xdr:to>
        <xdr:sp macro="" textlink="">
          <xdr:nvSpPr>
            <xdr:cNvPr id="72734" name="Check Box 30" hidden="1">
              <a:extLst>
                <a:ext uri="{63B3BB69-23CF-44E3-9099-C40C66FF867C}">
                  <a14:compatExt spid="_x0000_s72734"/>
                </a:ext>
                <a:ext uri="{FF2B5EF4-FFF2-40B4-BE49-F238E27FC236}">
                  <a16:creationId xmlns:a16="http://schemas.microsoft.com/office/drawing/2014/main" id="{00000000-0008-0000-0200-00000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72735" name="Check Box 31" hidden="1">
              <a:extLst>
                <a:ext uri="{63B3BB69-23CF-44E3-9099-C40C66FF867C}">
                  <a14:compatExt spid="_x0000_s72735"/>
                </a:ext>
                <a:ext uri="{FF2B5EF4-FFF2-40B4-BE49-F238E27FC236}">
                  <a16:creationId xmlns:a16="http://schemas.microsoft.com/office/drawing/2014/main" id="{00000000-0008-0000-0200-00000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35</xdr:row>
          <xdr:rowOff>0</xdr:rowOff>
        </xdr:from>
        <xdr:to>
          <xdr:col>2</xdr:col>
          <xdr:colOff>3108960</xdr:colOff>
          <xdr:row>36</xdr:row>
          <xdr:rowOff>7620</xdr:rowOff>
        </xdr:to>
        <xdr:sp macro="" textlink="">
          <xdr:nvSpPr>
            <xdr:cNvPr id="72736" name="Check Box 32" hidden="1">
              <a:extLst>
                <a:ext uri="{63B3BB69-23CF-44E3-9099-C40C66FF867C}">
                  <a14:compatExt spid="_x0000_s72736"/>
                </a:ext>
                <a:ext uri="{FF2B5EF4-FFF2-40B4-BE49-F238E27FC236}">
                  <a16:creationId xmlns:a16="http://schemas.microsoft.com/office/drawing/2014/main" id="{00000000-0008-0000-0200-00000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37</xdr:row>
          <xdr:rowOff>0</xdr:rowOff>
        </xdr:from>
        <xdr:to>
          <xdr:col>3</xdr:col>
          <xdr:colOff>1021080</xdr:colOff>
          <xdr:row>37</xdr:row>
          <xdr:rowOff>160020</xdr:rowOff>
        </xdr:to>
        <xdr:sp macro="" textlink="">
          <xdr:nvSpPr>
            <xdr:cNvPr id="72737" name="Check Box 33" hidden="1">
              <a:extLst>
                <a:ext uri="{63B3BB69-23CF-44E3-9099-C40C66FF867C}">
                  <a14:compatExt spid="_x0000_s72737"/>
                </a:ext>
                <a:ext uri="{FF2B5EF4-FFF2-40B4-BE49-F238E27FC236}">
                  <a16:creationId xmlns:a16="http://schemas.microsoft.com/office/drawing/2014/main" id="{00000000-0008-0000-0200-00000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35</xdr:row>
          <xdr:rowOff>182880</xdr:rowOff>
        </xdr:from>
        <xdr:to>
          <xdr:col>4</xdr:col>
          <xdr:colOff>335280</xdr:colOff>
          <xdr:row>37</xdr:row>
          <xdr:rowOff>22860</xdr:rowOff>
        </xdr:to>
        <xdr:sp macro="" textlink="">
          <xdr:nvSpPr>
            <xdr:cNvPr id="72738" name="Check Box 34" hidden="1">
              <a:extLst>
                <a:ext uri="{63B3BB69-23CF-44E3-9099-C40C66FF867C}">
                  <a14:compatExt spid="_x0000_s72738"/>
                </a:ext>
                <a:ext uri="{FF2B5EF4-FFF2-40B4-BE49-F238E27FC236}">
                  <a16:creationId xmlns:a16="http://schemas.microsoft.com/office/drawing/2014/main" id="{00000000-0008-0000-0200-00000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41</xdr:row>
          <xdr:rowOff>7620</xdr:rowOff>
        </xdr:from>
        <xdr:to>
          <xdr:col>11</xdr:col>
          <xdr:colOff>525780</xdr:colOff>
          <xdr:row>41</xdr:row>
          <xdr:rowOff>190500</xdr:rowOff>
        </xdr:to>
        <xdr:sp macro="" textlink="">
          <xdr:nvSpPr>
            <xdr:cNvPr id="72739" name="Check Box 35" hidden="1">
              <a:extLst>
                <a:ext uri="{63B3BB69-23CF-44E3-9099-C40C66FF867C}">
                  <a14:compatExt spid="_x0000_s72739"/>
                </a:ext>
                <a:ext uri="{FF2B5EF4-FFF2-40B4-BE49-F238E27FC236}">
                  <a16:creationId xmlns:a16="http://schemas.microsoft.com/office/drawing/2014/main" id="{00000000-0008-0000-0200-00000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72740" name="Check Box 36" hidden="1">
              <a:extLst>
                <a:ext uri="{63B3BB69-23CF-44E3-9099-C40C66FF867C}">
                  <a14:compatExt spid="_x0000_s72740"/>
                </a:ext>
                <a:ext uri="{FF2B5EF4-FFF2-40B4-BE49-F238E27FC236}">
                  <a16:creationId xmlns:a16="http://schemas.microsoft.com/office/drawing/2014/main" id="{00000000-0008-0000-0200-00000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35</xdr:row>
          <xdr:rowOff>0</xdr:rowOff>
        </xdr:from>
        <xdr:to>
          <xdr:col>2</xdr:col>
          <xdr:colOff>3108960</xdr:colOff>
          <xdr:row>36</xdr:row>
          <xdr:rowOff>7620</xdr:rowOff>
        </xdr:to>
        <xdr:sp macro="" textlink="">
          <xdr:nvSpPr>
            <xdr:cNvPr id="72741" name="Check Box 37" hidden="1">
              <a:extLst>
                <a:ext uri="{63B3BB69-23CF-44E3-9099-C40C66FF867C}">
                  <a14:compatExt spid="_x0000_s72741"/>
                </a:ext>
                <a:ext uri="{FF2B5EF4-FFF2-40B4-BE49-F238E27FC236}">
                  <a16:creationId xmlns:a16="http://schemas.microsoft.com/office/drawing/2014/main" id="{00000000-0008-0000-0200-00000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37</xdr:row>
          <xdr:rowOff>0</xdr:rowOff>
        </xdr:from>
        <xdr:to>
          <xdr:col>3</xdr:col>
          <xdr:colOff>1021080</xdr:colOff>
          <xdr:row>37</xdr:row>
          <xdr:rowOff>160020</xdr:rowOff>
        </xdr:to>
        <xdr:sp macro="" textlink="">
          <xdr:nvSpPr>
            <xdr:cNvPr id="72742" name="Check Box 38" hidden="1">
              <a:extLst>
                <a:ext uri="{63B3BB69-23CF-44E3-9099-C40C66FF867C}">
                  <a14:compatExt spid="_x0000_s72742"/>
                </a:ext>
                <a:ext uri="{FF2B5EF4-FFF2-40B4-BE49-F238E27FC236}">
                  <a16:creationId xmlns:a16="http://schemas.microsoft.com/office/drawing/2014/main" id="{00000000-0008-0000-0200-00000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35</xdr:row>
          <xdr:rowOff>182880</xdr:rowOff>
        </xdr:from>
        <xdr:to>
          <xdr:col>4</xdr:col>
          <xdr:colOff>335280</xdr:colOff>
          <xdr:row>37</xdr:row>
          <xdr:rowOff>22860</xdr:rowOff>
        </xdr:to>
        <xdr:sp macro="" textlink="">
          <xdr:nvSpPr>
            <xdr:cNvPr id="72743" name="Check Box 39" hidden="1">
              <a:extLst>
                <a:ext uri="{63B3BB69-23CF-44E3-9099-C40C66FF867C}">
                  <a14:compatExt spid="_x0000_s72743"/>
                </a:ext>
                <a:ext uri="{FF2B5EF4-FFF2-40B4-BE49-F238E27FC236}">
                  <a16:creationId xmlns:a16="http://schemas.microsoft.com/office/drawing/2014/main" id="{00000000-0008-0000-0200-00000F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39</xdr:row>
          <xdr:rowOff>30480</xdr:rowOff>
        </xdr:from>
        <xdr:to>
          <xdr:col>13</xdr:col>
          <xdr:colOff>220980</xdr:colOff>
          <xdr:row>39</xdr:row>
          <xdr:rowOff>160020</xdr:rowOff>
        </xdr:to>
        <xdr:sp macro="" textlink="">
          <xdr:nvSpPr>
            <xdr:cNvPr id="72744" name="Check Box 40" hidden="1">
              <a:extLst>
                <a:ext uri="{63B3BB69-23CF-44E3-9099-C40C66FF867C}">
                  <a14:compatExt spid="_x0000_s72744"/>
                </a:ext>
                <a:ext uri="{FF2B5EF4-FFF2-40B4-BE49-F238E27FC236}">
                  <a16:creationId xmlns:a16="http://schemas.microsoft.com/office/drawing/2014/main" id="{00000000-0008-0000-0200-00001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40</xdr:row>
          <xdr:rowOff>30480</xdr:rowOff>
        </xdr:from>
        <xdr:to>
          <xdr:col>13</xdr:col>
          <xdr:colOff>594360</xdr:colOff>
          <xdr:row>41</xdr:row>
          <xdr:rowOff>0</xdr:rowOff>
        </xdr:to>
        <xdr:sp macro="" textlink="">
          <xdr:nvSpPr>
            <xdr:cNvPr id="72745" name="Check Box 41" hidden="1">
              <a:extLst>
                <a:ext uri="{63B3BB69-23CF-44E3-9099-C40C66FF867C}">
                  <a14:compatExt spid="_x0000_s72745"/>
                </a:ext>
                <a:ext uri="{FF2B5EF4-FFF2-40B4-BE49-F238E27FC236}">
                  <a16:creationId xmlns:a16="http://schemas.microsoft.com/office/drawing/2014/main" id="{00000000-0008-0000-0200-00001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41</xdr:row>
          <xdr:rowOff>7620</xdr:rowOff>
        </xdr:from>
        <xdr:to>
          <xdr:col>11</xdr:col>
          <xdr:colOff>525780</xdr:colOff>
          <xdr:row>41</xdr:row>
          <xdr:rowOff>190500</xdr:rowOff>
        </xdr:to>
        <xdr:sp macro="" textlink="">
          <xdr:nvSpPr>
            <xdr:cNvPr id="72746" name="Check Box 42" hidden="1">
              <a:extLst>
                <a:ext uri="{63B3BB69-23CF-44E3-9099-C40C66FF867C}">
                  <a14:compatExt spid="_x0000_s72746"/>
                </a:ext>
                <a:ext uri="{FF2B5EF4-FFF2-40B4-BE49-F238E27FC236}">
                  <a16:creationId xmlns:a16="http://schemas.microsoft.com/office/drawing/2014/main" id="{00000000-0008-0000-0200-00001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72747" name="Check Box 43" hidden="1">
              <a:extLst>
                <a:ext uri="{63B3BB69-23CF-44E3-9099-C40C66FF867C}">
                  <a14:compatExt spid="_x0000_s72747"/>
                </a:ext>
                <a:ext uri="{FF2B5EF4-FFF2-40B4-BE49-F238E27FC236}">
                  <a16:creationId xmlns:a16="http://schemas.microsoft.com/office/drawing/2014/main" id="{00000000-0008-0000-0200-00001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35</xdr:row>
          <xdr:rowOff>0</xdr:rowOff>
        </xdr:from>
        <xdr:to>
          <xdr:col>2</xdr:col>
          <xdr:colOff>3108960</xdr:colOff>
          <xdr:row>36</xdr:row>
          <xdr:rowOff>7620</xdr:rowOff>
        </xdr:to>
        <xdr:sp macro="" textlink="">
          <xdr:nvSpPr>
            <xdr:cNvPr id="72748" name="Check Box 44" hidden="1">
              <a:extLst>
                <a:ext uri="{63B3BB69-23CF-44E3-9099-C40C66FF867C}">
                  <a14:compatExt spid="_x0000_s72748"/>
                </a:ext>
                <a:ext uri="{FF2B5EF4-FFF2-40B4-BE49-F238E27FC236}">
                  <a16:creationId xmlns:a16="http://schemas.microsoft.com/office/drawing/2014/main" id="{00000000-0008-0000-0200-00001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37</xdr:row>
          <xdr:rowOff>0</xdr:rowOff>
        </xdr:from>
        <xdr:to>
          <xdr:col>3</xdr:col>
          <xdr:colOff>1021080</xdr:colOff>
          <xdr:row>37</xdr:row>
          <xdr:rowOff>160020</xdr:rowOff>
        </xdr:to>
        <xdr:sp macro="" textlink="">
          <xdr:nvSpPr>
            <xdr:cNvPr id="72749" name="Check Box 45" hidden="1">
              <a:extLst>
                <a:ext uri="{63B3BB69-23CF-44E3-9099-C40C66FF867C}">
                  <a14:compatExt spid="_x0000_s72749"/>
                </a:ext>
                <a:ext uri="{FF2B5EF4-FFF2-40B4-BE49-F238E27FC236}">
                  <a16:creationId xmlns:a16="http://schemas.microsoft.com/office/drawing/2014/main" id="{00000000-0008-0000-0200-00001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35</xdr:row>
          <xdr:rowOff>182880</xdr:rowOff>
        </xdr:from>
        <xdr:to>
          <xdr:col>4</xdr:col>
          <xdr:colOff>335280</xdr:colOff>
          <xdr:row>37</xdr:row>
          <xdr:rowOff>22860</xdr:rowOff>
        </xdr:to>
        <xdr:sp macro="" textlink="">
          <xdr:nvSpPr>
            <xdr:cNvPr id="72750" name="Check Box 46" hidden="1">
              <a:extLst>
                <a:ext uri="{63B3BB69-23CF-44E3-9099-C40C66FF867C}">
                  <a14:compatExt spid="_x0000_s72750"/>
                </a:ext>
                <a:ext uri="{FF2B5EF4-FFF2-40B4-BE49-F238E27FC236}">
                  <a16:creationId xmlns:a16="http://schemas.microsoft.com/office/drawing/2014/main" id="{00000000-0008-0000-0200-00001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41</xdr:row>
          <xdr:rowOff>7620</xdr:rowOff>
        </xdr:from>
        <xdr:to>
          <xdr:col>11</xdr:col>
          <xdr:colOff>525780</xdr:colOff>
          <xdr:row>41</xdr:row>
          <xdr:rowOff>190500</xdr:rowOff>
        </xdr:to>
        <xdr:sp macro="" textlink="">
          <xdr:nvSpPr>
            <xdr:cNvPr id="72751" name="Check Box 47" hidden="1">
              <a:extLst>
                <a:ext uri="{63B3BB69-23CF-44E3-9099-C40C66FF867C}">
                  <a14:compatExt spid="_x0000_s72751"/>
                </a:ext>
                <a:ext uri="{FF2B5EF4-FFF2-40B4-BE49-F238E27FC236}">
                  <a16:creationId xmlns:a16="http://schemas.microsoft.com/office/drawing/2014/main" id="{00000000-0008-0000-0200-00001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72752" name="Check Box 48" hidden="1">
              <a:extLst>
                <a:ext uri="{63B3BB69-23CF-44E3-9099-C40C66FF867C}">
                  <a14:compatExt spid="_x0000_s72752"/>
                </a:ext>
                <a:ext uri="{FF2B5EF4-FFF2-40B4-BE49-F238E27FC236}">
                  <a16:creationId xmlns:a16="http://schemas.microsoft.com/office/drawing/2014/main" id="{00000000-0008-0000-0200-00001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2</xdr:col>
          <xdr:colOff>3108960</xdr:colOff>
          <xdr:row>33</xdr:row>
          <xdr:rowOff>7620</xdr:rowOff>
        </xdr:to>
        <xdr:sp macro="" textlink="">
          <xdr:nvSpPr>
            <xdr:cNvPr id="155649" name="Check Box 1" hidden="1">
              <a:extLst>
                <a:ext uri="{63B3BB69-23CF-44E3-9099-C40C66FF867C}">
                  <a14:compatExt spid="_x0000_s155649"/>
                </a:ext>
                <a:ext uri="{FF2B5EF4-FFF2-40B4-BE49-F238E27FC236}">
                  <a16:creationId xmlns:a16="http://schemas.microsoft.com/office/drawing/2014/main" id="{00000000-0008-0000-02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3</xdr:col>
          <xdr:colOff>609600</xdr:colOff>
          <xdr:row>34</xdr:row>
          <xdr:rowOff>160020</xdr:rowOff>
        </xdr:to>
        <xdr:sp macro="" textlink="">
          <xdr:nvSpPr>
            <xdr:cNvPr id="155650" name="Check Box 2" hidden="1">
              <a:extLst>
                <a:ext uri="{63B3BB69-23CF-44E3-9099-C40C66FF867C}">
                  <a14:compatExt spid="_x0000_s155650"/>
                </a:ext>
                <a:ext uri="{FF2B5EF4-FFF2-40B4-BE49-F238E27FC236}">
                  <a16:creationId xmlns:a16="http://schemas.microsoft.com/office/drawing/2014/main" id="{00000000-0008-0000-02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4</xdr:col>
          <xdr:colOff>274320</xdr:colOff>
          <xdr:row>33</xdr:row>
          <xdr:rowOff>182880</xdr:rowOff>
        </xdr:to>
        <xdr:sp macro="" textlink="">
          <xdr:nvSpPr>
            <xdr:cNvPr id="155651" name="Check Box 3" hidden="1">
              <a:extLst>
                <a:ext uri="{63B3BB69-23CF-44E3-9099-C40C66FF867C}">
                  <a14:compatExt spid="_x0000_s155651"/>
                </a:ext>
                <a:ext uri="{FF2B5EF4-FFF2-40B4-BE49-F238E27FC236}">
                  <a16:creationId xmlns:a16="http://schemas.microsoft.com/office/drawing/2014/main" id="{00000000-0008-0000-0200-00000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30480</xdr:rowOff>
        </xdr:from>
        <xdr:to>
          <xdr:col>14</xdr:col>
          <xdr:colOff>99060</xdr:colOff>
          <xdr:row>36</xdr:row>
          <xdr:rowOff>160020</xdr:rowOff>
        </xdr:to>
        <xdr:sp macro="" textlink="">
          <xdr:nvSpPr>
            <xdr:cNvPr id="155652" name="Check Box 4" hidden="1">
              <a:extLst>
                <a:ext uri="{63B3BB69-23CF-44E3-9099-C40C66FF867C}">
                  <a14:compatExt spid="_x0000_s155652"/>
                </a:ext>
                <a:ext uri="{FF2B5EF4-FFF2-40B4-BE49-F238E27FC236}">
                  <a16:creationId xmlns:a16="http://schemas.microsoft.com/office/drawing/2014/main" id="{00000000-0008-0000-0200-00000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37</xdr:row>
          <xdr:rowOff>30480</xdr:rowOff>
        </xdr:from>
        <xdr:to>
          <xdr:col>14</xdr:col>
          <xdr:colOff>480060</xdr:colOff>
          <xdr:row>37</xdr:row>
          <xdr:rowOff>190500</xdr:rowOff>
        </xdr:to>
        <xdr:sp macro="" textlink="">
          <xdr:nvSpPr>
            <xdr:cNvPr id="155653" name="Check Box 5" hidden="1">
              <a:extLst>
                <a:ext uri="{63B3BB69-23CF-44E3-9099-C40C66FF867C}">
                  <a14:compatExt spid="_x0000_s155653"/>
                </a:ext>
                <a:ext uri="{FF2B5EF4-FFF2-40B4-BE49-F238E27FC236}">
                  <a16:creationId xmlns:a16="http://schemas.microsoft.com/office/drawing/2014/main" id="{00000000-0008-0000-0200-00000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12</xdr:col>
          <xdr:colOff>480060</xdr:colOff>
          <xdr:row>39</xdr:row>
          <xdr:rowOff>0</xdr:rowOff>
        </xdr:to>
        <xdr:sp macro="" textlink="">
          <xdr:nvSpPr>
            <xdr:cNvPr id="155654" name="Check Box 6" hidden="1">
              <a:extLst>
                <a:ext uri="{63B3BB69-23CF-44E3-9099-C40C66FF867C}">
                  <a14:compatExt spid="_x0000_s155654"/>
                </a:ext>
                <a:ext uri="{FF2B5EF4-FFF2-40B4-BE49-F238E27FC236}">
                  <a16:creationId xmlns:a16="http://schemas.microsoft.com/office/drawing/2014/main" id="{00000000-0008-0000-0200-00000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155655" name="Check Box 7" hidden="1">
              <a:extLst>
                <a:ext uri="{63B3BB69-23CF-44E3-9099-C40C66FF867C}">
                  <a14:compatExt spid="_x0000_s155655"/>
                </a:ext>
                <a:ext uri="{FF2B5EF4-FFF2-40B4-BE49-F238E27FC236}">
                  <a16:creationId xmlns:a16="http://schemas.microsoft.com/office/drawing/2014/main" id="{00000000-0008-0000-0200-00000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2</xdr:col>
          <xdr:colOff>3108960</xdr:colOff>
          <xdr:row>33</xdr:row>
          <xdr:rowOff>7620</xdr:rowOff>
        </xdr:to>
        <xdr:sp macro="" textlink="">
          <xdr:nvSpPr>
            <xdr:cNvPr id="155656" name="Check Box 8" hidden="1">
              <a:extLst>
                <a:ext uri="{63B3BB69-23CF-44E3-9099-C40C66FF867C}">
                  <a14:compatExt spid="_x0000_s155656"/>
                </a:ext>
                <a:ext uri="{FF2B5EF4-FFF2-40B4-BE49-F238E27FC236}">
                  <a16:creationId xmlns:a16="http://schemas.microsoft.com/office/drawing/2014/main" id="{00000000-0008-0000-0200-00000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3</xdr:col>
          <xdr:colOff>609600</xdr:colOff>
          <xdr:row>34</xdr:row>
          <xdr:rowOff>160020</xdr:rowOff>
        </xdr:to>
        <xdr:sp macro="" textlink="">
          <xdr:nvSpPr>
            <xdr:cNvPr id="155657" name="Check Box 9" hidden="1">
              <a:extLst>
                <a:ext uri="{63B3BB69-23CF-44E3-9099-C40C66FF867C}">
                  <a14:compatExt spid="_x0000_s155657"/>
                </a:ext>
                <a:ext uri="{FF2B5EF4-FFF2-40B4-BE49-F238E27FC236}">
                  <a16:creationId xmlns:a16="http://schemas.microsoft.com/office/drawing/2014/main" id="{00000000-0008-0000-0200-00000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4</xdr:col>
          <xdr:colOff>274320</xdr:colOff>
          <xdr:row>33</xdr:row>
          <xdr:rowOff>182880</xdr:rowOff>
        </xdr:to>
        <xdr:sp macro="" textlink="">
          <xdr:nvSpPr>
            <xdr:cNvPr id="155658" name="Check Box 10" hidden="1">
              <a:extLst>
                <a:ext uri="{63B3BB69-23CF-44E3-9099-C40C66FF867C}">
                  <a14:compatExt spid="_x0000_s155658"/>
                </a:ext>
                <a:ext uri="{FF2B5EF4-FFF2-40B4-BE49-F238E27FC236}">
                  <a16:creationId xmlns:a16="http://schemas.microsoft.com/office/drawing/2014/main" id="{00000000-0008-0000-0200-00000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12</xdr:col>
          <xdr:colOff>480060</xdr:colOff>
          <xdr:row>39</xdr:row>
          <xdr:rowOff>0</xdr:rowOff>
        </xdr:to>
        <xdr:sp macro="" textlink="">
          <xdr:nvSpPr>
            <xdr:cNvPr id="155659" name="Check Box 11" hidden="1">
              <a:extLst>
                <a:ext uri="{63B3BB69-23CF-44E3-9099-C40C66FF867C}">
                  <a14:compatExt spid="_x0000_s155659"/>
                </a:ext>
                <a:ext uri="{FF2B5EF4-FFF2-40B4-BE49-F238E27FC236}">
                  <a16:creationId xmlns:a16="http://schemas.microsoft.com/office/drawing/2014/main" id="{00000000-0008-0000-0200-00000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155660" name="Check Box 12" hidden="1">
              <a:extLst>
                <a:ext uri="{63B3BB69-23CF-44E3-9099-C40C66FF867C}">
                  <a14:compatExt spid="_x0000_s155660"/>
                </a:ext>
                <a:ext uri="{FF2B5EF4-FFF2-40B4-BE49-F238E27FC236}">
                  <a16:creationId xmlns:a16="http://schemas.microsoft.com/office/drawing/2014/main" id="{00000000-0008-0000-0200-00000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2</xdr:col>
          <xdr:colOff>3108960</xdr:colOff>
          <xdr:row>33</xdr:row>
          <xdr:rowOff>7620</xdr:rowOff>
        </xdr:to>
        <xdr:sp macro="" textlink="">
          <xdr:nvSpPr>
            <xdr:cNvPr id="155661" name="Check Box 13" hidden="1">
              <a:extLst>
                <a:ext uri="{63B3BB69-23CF-44E3-9099-C40C66FF867C}">
                  <a14:compatExt spid="_x0000_s155661"/>
                </a:ext>
                <a:ext uri="{FF2B5EF4-FFF2-40B4-BE49-F238E27FC236}">
                  <a16:creationId xmlns:a16="http://schemas.microsoft.com/office/drawing/2014/main" id="{00000000-0008-0000-0200-00000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3</xdr:col>
          <xdr:colOff>609600</xdr:colOff>
          <xdr:row>34</xdr:row>
          <xdr:rowOff>160020</xdr:rowOff>
        </xdr:to>
        <xdr:sp macro="" textlink="">
          <xdr:nvSpPr>
            <xdr:cNvPr id="155662" name="Check Box 14" hidden="1">
              <a:extLst>
                <a:ext uri="{63B3BB69-23CF-44E3-9099-C40C66FF867C}">
                  <a14:compatExt spid="_x0000_s155662"/>
                </a:ext>
                <a:ext uri="{FF2B5EF4-FFF2-40B4-BE49-F238E27FC236}">
                  <a16:creationId xmlns:a16="http://schemas.microsoft.com/office/drawing/2014/main" id="{00000000-0008-0000-0200-00000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4</xdr:col>
          <xdr:colOff>274320</xdr:colOff>
          <xdr:row>33</xdr:row>
          <xdr:rowOff>182880</xdr:rowOff>
        </xdr:to>
        <xdr:sp macro="" textlink="">
          <xdr:nvSpPr>
            <xdr:cNvPr id="155663" name="Check Box 15" hidden="1">
              <a:extLst>
                <a:ext uri="{63B3BB69-23CF-44E3-9099-C40C66FF867C}">
                  <a14:compatExt spid="_x0000_s155663"/>
                </a:ext>
                <a:ext uri="{FF2B5EF4-FFF2-40B4-BE49-F238E27FC236}">
                  <a16:creationId xmlns:a16="http://schemas.microsoft.com/office/drawing/2014/main" id="{00000000-0008-0000-0200-00000F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30480</xdr:rowOff>
        </xdr:from>
        <xdr:to>
          <xdr:col>14</xdr:col>
          <xdr:colOff>99060</xdr:colOff>
          <xdr:row>36</xdr:row>
          <xdr:rowOff>160020</xdr:rowOff>
        </xdr:to>
        <xdr:sp macro="" textlink="">
          <xdr:nvSpPr>
            <xdr:cNvPr id="155664" name="Check Box 16" hidden="1">
              <a:extLst>
                <a:ext uri="{63B3BB69-23CF-44E3-9099-C40C66FF867C}">
                  <a14:compatExt spid="_x0000_s155664"/>
                </a:ext>
                <a:ext uri="{FF2B5EF4-FFF2-40B4-BE49-F238E27FC236}">
                  <a16:creationId xmlns:a16="http://schemas.microsoft.com/office/drawing/2014/main" id="{00000000-0008-0000-0200-00001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37</xdr:row>
          <xdr:rowOff>30480</xdr:rowOff>
        </xdr:from>
        <xdr:to>
          <xdr:col>14</xdr:col>
          <xdr:colOff>480060</xdr:colOff>
          <xdr:row>37</xdr:row>
          <xdr:rowOff>190500</xdr:rowOff>
        </xdr:to>
        <xdr:sp macro="" textlink="">
          <xdr:nvSpPr>
            <xdr:cNvPr id="155665" name="Check Box 17" hidden="1">
              <a:extLst>
                <a:ext uri="{63B3BB69-23CF-44E3-9099-C40C66FF867C}">
                  <a14:compatExt spid="_x0000_s155665"/>
                </a:ext>
                <a:ext uri="{FF2B5EF4-FFF2-40B4-BE49-F238E27FC236}">
                  <a16:creationId xmlns:a16="http://schemas.microsoft.com/office/drawing/2014/main" id="{00000000-0008-0000-0200-00001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12</xdr:col>
          <xdr:colOff>480060</xdr:colOff>
          <xdr:row>39</xdr:row>
          <xdr:rowOff>0</xdr:rowOff>
        </xdr:to>
        <xdr:sp macro="" textlink="">
          <xdr:nvSpPr>
            <xdr:cNvPr id="155666" name="Check Box 18" hidden="1">
              <a:extLst>
                <a:ext uri="{63B3BB69-23CF-44E3-9099-C40C66FF867C}">
                  <a14:compatExt spid="_x0000_s155666"/>
                </a:ext>
                <a:ext uri="{FF2B5EF4-FFF2-40B4-BE49-F238E27FC236}">
                  <a16:creationId xmlns:a16="http://schemas.microsoft.com/office/drawing/2014/main" id="{00000000-0008-0000-0200-00001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155667" name="Check Box 19" hidden="1">
              <a:extLst>
                <a:ext uri="{63B3BB69-23CF-44E3-9099-C40C66FF867C}">
                  <a14:compatExt spid="_x0000_s155667"/>
                </a:ext>
                <a:ext uri="{FF2B5EF4-FFF2-40B4-BE49-F238E27FC236}">
                  <a16:creationId xmlns:a16="http://schemas.microsoft.com/office/drawing/2014/main" id="{00000000-0008-0000-0200-00001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2</xdr:col>
          <xdr:colOff>3108960</xdr:colOff>
          <xdr:row>33</xdr:row>
          <xdr:rowOff>7620</xdr:rowOff>
        </xdr:to>
        <xdr:sp macro="" textlink="">
          <xdr:nvSpPr>
            <xdr:cNvPr id="155668" name="Check Box 20" hidden="1">
              <a:extLst>
                <a:ext uri="{63B3BB69-23CF-44E3-9099-C40C66FF867C}">
                  <a14:compatExt spid="_x0000_s155668"/>
                </a:ext>
                <a:ext uri="{FF2B5EF4-FFF2-40B4-BE49-F238E27FC236}">
                  <a16:creationId xmlns:a16="http://schemas.microsoft.com/office/drawing/2014/main" id="{00000000-0008-0000-0200-00001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3</xdr:col>
          <xdr:colOff>609600</xdr:colOff>
          <xdr:row>34</xdr:row>
          <xdr:rowOff>160020</xdr:rowOff>
        </xdr:to>
        <xdr:sp macro="" textlink="">
          <xdr:nvSpPr>
            <xdr:cNvPr id="155669" name="Check Box 21" hidden="1">
              <a:extLst>
                <a:ext uri="{63B3BB69-23CF-44E3-9099-C40C66FF867C}">
                  <a14:compatExt spid="_x0000_s155669"/>
                </a:ext>
                <a:ext uri="{FF2B5EF4-FFF2-40B4-BE49-F238E27FC236}">
                  <a16:creationId xmlns:a16="http://schemas.microsoft.com/office/drawing/2014/main" id="{00000000-0008-0000-0200-00001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4</xdr:col>
          <xdr:colOff>274320</xdr:colOff>
          <xdr:row>33</xdr:row>
          <xdr:rowOff>182880</xdr:rowOff>
        </xdr:to>
        <xdr:sp macro="" textlink="">
          <xdr:nvSpPr>
            <xdr:cNvPr id="155670" name="Check Box 22" hidden="1">
              <a:extLst>
                <a:ext uri="{63B3BB69-23CF-44E3-9099-C40C66FF867C}">
                  <a14:compatExt spid="_x0000_s155670"/>
                </a:ext>
                <a:ext uri="{FF2B5EF4-FFF2-40B4-BE49-F238E27FC236}">
                  <a16:creationId xmlns:a16="http://schemas.microsoft.com/office/drawing/2014/main" id="{00000000-0008-0000-0200-00001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12</xdr:col>
          <xdr:colOff>480060</xdr:colOff>
          <xdr:row>39</xdr:row>
          <xdr:rowOff>0</xdr:rowOff>
        </xdr:to>
        <xdr:sp macro="" textlink="">
          <xdr:nvSpPr>
            <xdr:cNvPr id="155671" name="Check Box 23" hidden="1">
              <a:extLst>
                <a:ext uri="{63B3BB69-23CF-44E3-9099-C40C66FF867C}">
                  <a14:compatExt spid="_x0000_s155671"/>
                </a:ext>
                <a:ext uri="{FF2B5EF4-FFF2-40B4-BE49-F238E27FC236}">
                  <a16:creationId xmlns:a16="http://schemas.microsoft.com/office/drawing/2014/main" id="{00000000-0008-0000-0200-00001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155672" name="Check Box 24" hidden="1">
              <a:extLst>
                <a:ext uri="{63B3BB69-23CF-44E3-9099-C40C66FF867C}">
                  <a14:compatExt spid="_x0000_s155672"/>
                </a:ext>
                <a:ext uri="{FF2B5EF4-FFF2-40B4-BE49-F238E27FC236}">
                  <a16:creationId xmlns:a16="http://schemas.microsoft.com/office/drawing/2014/main" id="{00000000-0008-0000-0200-00001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35</xdr:row>
          <xdr:rowOff>0</xdr:rowOff>
        </xdr:from>
        <xdr:to>
          <xdr:col>2</xdr:col>
          <xdr:colOff>3108960</xdr:colOff>
          <xdr:row>36</xdr:row>
          <xdr:rowOff>7620</xdr:rowOff>
        </xdr:to>
        <xdr:sp macro="" textlink="">
          <xdr:nvSpPr>
            <xdr:cNvPr id="155673" name="Check Box 25" hidden="1">
              <a:extLst>
                <a:ext uri="{63B3BB69-23CF-44E3-9099-C40C66FF867C}">
                  <a14:compatExt spid="_x0000_s1556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37</xdr:row>
          <xdr:rowOff>0</xdr:rowOff>
        </xdr:from>
        <xdr:to>
          <xdr:col>3</xdr:col>
          <xdr:colOff>617220</xdr:colOff>
          <xdr:row>37</xdr:row>
          <xdr:rowOff>160020</xdr:rowOff>
        </xdr:to>
        <xdr:sp macro="" textlink="">
          <xdr:nvSpPr>
            <xdr:cNvPr id="155674" name="Check Box 26" hidden="1">
              <a:extLst>
                <a:ext uri="{63B3BB69-23CF-44E3-9099-C40C66FF867C}">
                  <a14:compatExt spid="_x0000_s1556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35</xdr:row>
          <xdr:rowOff>182880</xdr:rowOff>
        </xdr:from>
        <xdr:to>
          <xdr:col>4</xdr:col>
          <xdr:colOff>274320</xdr:colOff>
          <xdr:row>37</xdr:row>
          <xdr:rowOff>22860</xdr:rowOff>
        </xdr:to>
        <xdr:sp macro="" textlink="">
          <xdr:nvSpPr>
            <xdr:cNvPr id="155675" name="Check Box 27" hidden="1">
              <a:extLst>
                <a:ext uri="{63B3BB69-23CF-44E3-9099-C40C66FF867C}">
                  <a14:compatExt spid="_x0000_s1556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39</xdr:row>
          <xdr:rowOff>30480</xdr:rowOff>
        </xdr:from>
        <xdr:to>
          <xdr:col>14</xdr:col>
          <xdr:colOff>68580</xdr:colOff>
          <xdr:row>39</xdr:row>
          <xdr:rowOff>160020</xdr:rowOff>
        </xdr:to>
        <xdr:sp macro="" textlink="">
          <xdr:nvSpPr>
            <xdr:cNvPr id="155676" name="Check Box 28" hidden="1">
              <a:extLst>
                <a:ext uri="{63B3BB69-23CF-44E3-9099-C40C66FF867C}">
                  <a14:compatExt spid="_x0000_s1556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40</xdr:row>
          <xdr:rowOff>30480</xdr:rowOff>
        </xdr:from>
        <xdr:to>
          <xdr:col>14</xdr:col>
          <xdr:colOff>441960</xdr:colOff>
          <xdr:row>41</xdr:row>
          <xdr:rowOff>0</xdr:rowOff>
        </xdr:to>
        <xdr:sp macro="" textlink="">
          <xdr:nvSpPr>
            <xdr:cNvPr id="155677" name="Check Box 29" hidden="1">
              <a:extLst>
                <a:ext uri="{63B3BB69-23CF-44E3-9099-C40C66FF867C}">
                  <a14:compatExt spid="_x0000_s1556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41</xdr:row>
          <xdr:rowOff>7620</xdr:rowOff>
        </xdr:from>
        <xdr:to>
          <xdr:col>12</xdr:col>
          <xdr:colOff>449580</xdr:colOff>
          <xdr:row>42</xdr:row>
          <xdr:rowOff>0</xdr:rowOff>
        </xdr:to>
        <xdr:sp macro="" textlink="">
          <xdr:nvSpPr>
            <xdr:cNvPr id="155678" name="Check Box 30" hidden="1">
              <a:extLst>
                <a:ext uri="{63B3BB69-23CF-44E3-9099-C40C66FF867C}">
                  <a14:compatExt spid="_x0000_s1556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7620</xdr:rowOff>
        </xdr:to>
        <xdr:sp macro="" textlink="">
          <xdr:nvSpPr>
            <xdr:cNvPr id="155679" name="Check Box 31" hidden="1">
              <a:extLst>
                <a:ext uri="{63B3BB69-23CF-44E3-9099-C40C66FF867C}">
                  <a14:compatExt spid="_x0000_s1556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2</xdr:col>
          <xdr:colOff>3108960</xdr:colOff>
          <xdr:row>33</xdr:row>
          <xdr:rowOff>7620</xdr:rowOff>
        </xdr:to>
        <xdr:sp macro="" textlink="">
          <xdr:nvSpPr>
            <xdr:cNvPr id="37889" name="Check Box 1" hidden="1">
              <a:extLst>
                <a:ext uri="{63B3BB69-23CF-44E3-9099-C40C66FF867C}">
                  <a14:compatExt spid="_x0000_s37889"/>
                </a:ext>
                <a:ext uri="{FF2B5EF4-FFF2-40B4-BE49-F238E27FC236}">
                  <a16:creationId xmlns:a16="http://schemas.microsoft.com/office/drawing/2014/main" id="{00000000-0008-0000-02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3</xdr:col>
          <xdr:colOff>441960</xdr:colOff>
          <xdr:row>34</xdr:row>
          <xdr:rowOff>160020</xdr:rowOff>
        </xdr:to>
        <xdr:sp macro="" textlink="">
          <xdr:nvSpPr>
            <xdr:cNvPr id="37890" name="Check Box 2" hidden="1">
              <a:extLst>
                <a:ext uri="{63B3BB69-23CF-44E3-9099-C40C66FF867C}">
                  <a14:compatExt spid="_x0000_s37890"/>
                </a:ext>
                <a:ext uri="{FF2B5EF4-FFF2-40B4-BE49-F238E27FC236}">
                  <a16:creationId xmlns:a16="http://schemas.microsoft.com/office/drawing/2014/main" id="{00000000-0008-0000-02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3</xdr:col>
          <xdr:colOff>1394460</xdr:colOff>
          <xdr:row>33</xdr:row>
          <xdr:rowOff>182880</xdr:rowOff>
        </xdr:to>
        <xdr:sp macro="" textlink="">
          <xdr:nvSpPr>
            <xdr:cNvPr id="37891" name="Check Box 3" hidden="1">
              <a:extLst>
                <a:ext uri="{63B3BB69-23CF-44E3-9099-C40C66FF867C}">
                  <a14:compatExt spid="_x0000_s37891"/>
                </a:ext>
                <a:ext uri="{FF2B5EF4-FFF2-40B4-BE49-F238E27FC236}">
                  <a16:creationId xmlns:a16="http://schemas.microsoft.com/office/drawing/2014/main" id="{00000000-0008-0000-0200-00000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30480</xdr:rowOff>
        </xdr:from>
        <xdr:to>
          <xdr:col>4</xdr:col>
          <xdr:colOff>5212080</xdr:colOff>
          <xdr:row>36</xdr:row>
          <xdr:rowOff>160020</xdr:rowOff>
        </xdr:to>
        <xdr:sp macro="" textlink="">
          <xdr:nvSpPr>
            <xdr:cNvPr id="37892" name="Check Box 4" hidden="1">
              <a:extLst>
                <a:ext uri="{63B3BB69-23CF-44E3-9099-C40C66FF867C}">
                  <a14:compatExt spid="_x0000_s37892"/>
                </a:ext>
                <a:ext uri="{FF2B5EF4-FFF2-40B4-BE49-F238E27FC236}">
                  <a16:creationId xmlns:a16="http://schemas.microsoft.com/office/drawing/2014/main" id="{00000000-0008-0000-0200-00000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37</xdr:row>
          <xdr:rowOff>30480</xdr:rowOff>
        </xdr:from>
        <xdr:to>
          <xdr:col>5</xdr:col>
          <xdr:colOff>106680</xdr:colOff>
          <xdr:row>38</xdr:row>
          <xdr:rowOff>0</xdr:rowOff>
        </xdr:to>
        <xdr:sp macro="" textlink="">
          <xdr:nvSpPr>
            <xdr:cNvPr id="37893" name="Check Box 5" hidden="1">
              <a:extLst>
                <a:ext uri="{63B3BB69-23CF-44E3-9099-C40C66FF867C}">
                  <a14:compatExt spid="_x0000_s37893"/>
                </a:ext>
                <a:ext uri="{FF2B5EF4-FFF2-40B4-BE49-F238E27FC236}">
                  <a16:creationId xmlns:a16="http://schemas.microsoft.com/office/drawing/2014/main" id="{00000000-0008-0000-0200-00000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4</xdr:col>
          <xdr:colOff>4267200</xdr:colOff>
          <xdr:row>39</xdr:row>
          <xdr:rowOff>0</xdr:rowOff>
        </xdr:to>
        <xdr:sp macro="" textlink="">
          <xdr:nvSpPr>
            <xdr:cNvPr id="37894" name="Check Box 6" hidden="1">
              <a:extLst>
                <a:ext uri="{63B3BB69-23CF-44E3-9099-C40C66FF867C}">
                  <a14:compatExt spid="_x0000_s37894"/>
                </a:ext>
                <a:ext uri="{FF2B5EF4-FFF2-40B4-BE49-F238E27FC236}">
                  <a16:creationId xmlns:a16="http://schemas.microsoft.com/office/drawing/2014/main" id="{00000000-0008-0000-0200-00000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37895" name="Check Box 7" hidden="1">
              <a:extLst>
                <a:ext uri="{63B3BB69-23CF-44E3-9099-C40C66FF867C}">
                  <a14:compatExt spid="_x0000_s37895"/>
                </a:ext>
                <a:ext uri="{FF2B5EF4-FFF2-40B4-BE49-F238E27FC236}">
                  <a16:creationId xmlns:a16="http://schemas.microsoft.com/office/drawing/2014/main" id="{00000000-0008-0000-0200-00000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2</xdr:col>
          <xdr:colOff>3108960</xdr:colOff>
          <xdr:row>33</xdr:row>
          <xdr:rowOff>7620</xdr:rowOff>
        </xdr:to>
        <xdr:sp macro="" textlink="">
          <xdr:nvSpPr>
            <xdr:cNvPr id="37896" name="Check Box 8" hidden="1">
              <a:extLst>
                <a:ext uri="{63B3BB69-23CF-44E3-9099-C40C66FF867C}">
                  <a14:compatExt spid="_x0000_s37896"/>
                </a:ext>
                <a:ext uri="{FF2B5EF4-FFF2-40B4-BE49-F238E27FC236}">
                  <a16:creationId xmlns:a16="http://schemas.microsoft.com/office/drawing/2014/main" id="{00000000-0008-0000-0200-00000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3</xdr:col>
          <xdr:colOff>441960</xdr:colOff>
          <xdr:row>34</xdr:row>
          <xdr:rowOff>160020</xdr:rowOff>
        </xdr:to>
        <xdr:sp macro="" textlink="">
          <xdr:nvSpPr>
            <xdr:cNvPr id="37897" name="Check Box 9" hidden="1">
              <a:extLst>
                <a:ext uri="{63B3BB69-23CF-44E3-9099-C40C66FF867C}">
                  <a14:compatExt spid="_x0000_s37897"/>
                </a:ext>
                <a:ext uri="{FF2B5EF4-FFF2-40B4-BE49-F238E27FC236}">
                  <a16:creationId xmlns:a16="http://schemas.microsoft.com/office/drawing/2014/main" id="{00000000-0008-0000-0200-00000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3</xdr:col>
          <xdr:colOff>1394460</xdr:colOff>
          <xdr:row>33</xdr:row>
          <xdr:rowOff>182880</xdr:rowOff>
        </xdr:to>
        <xdr:sp macro="" textlink="">
          <xdr:nvSpPr>
            <xdr:cNvPr id="37898" name="Check Box 10" hidden="1">
              <a:extLst>
                <a:ext uri="{63B3BB69-23CF-44E3-9099-C40C66FF867C}">
                  <a14:compatExt spid="_x0000_s37898"/>
                </a:ext>
                <a:ext uri="{FF2B5EF4-FFF2-40B4-BE49-F238E27FC236}">
                  <a16:creationId xmlns:a16="http://schemas.microsoft.com/office/drawing/2014/main" id="{00000000-0008-0000-0200-00000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4</xdr:col>
          <xdr:colOff>4267200</xdr:colOff>
          <xdr:row>39</xdr:row>
          <xdr:rowOff>0</xdr:rowOff>
        </xdr:to>
        <xdr:sp macro="" textlink="">
          <xdr:nvSpPr>
            <xdr:cNvPr id="37899" name="Check Box 11" hidden="1">
              <a:extLst>
                <a:ext uri="{63B3BB69-23CF-44E3-9099-C40C66FF867C}">
                  <a14:compatExt spid="_x0000_s37899"/>
                </a:ext>
                <a:ext uri="{FF2B5EF4-FFF2-40B4-BE49-F238E27FC236}">
                  <a16:creationId xmlns:a16="http://schemas.microsoft.com/office/drawing/2014/main" id="{00000000-0008-0000-0200-00000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37900" name="Check Box 12" hidden="1">
              <a:extLst>
                <a:ext uri="{63B3BB69-23CF-44E3-9099-C40C66FF867C}">
                  <a14:compatExt spid="_x0000_s37900"/>
                </a:ext>
                <a:ext uri="{FF2B5EF4-FFF2-40B4-BE49-F238E27FC236}">
                  <a16:creationId xmlns:a16="http://schemas.microsoft.com/office/drawing/2014/main" id="{00000000-0008-0000-0200-00000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2</xdr:col>
          <xdr:colOff>3108960</xdr:colOff>
          <xdr:row>33</xdr:row>
          <xdr:rowOff>7620</xdr:rowOff>
        </xdr:to>
        <xdr:sp macro="" textlink="">
          <xdr:nvSpPr>
            <xdr:cNvPr id="37901" name="Check Box 13" hidden="1">
              <a:extLst>
                <a:ext uri="{63B3BB69-23CF-44E3-9099-C40C66FF867C}">
                  <a14:compatExt spid="_x0000_s37901"/>
                </a:ext>
                <a:ext uri="{FF2B5EF4-FFF2-40B4-BE49-F238E27FC236}">
                  <a16:creationId xmlns:a16="http://schemas.microsoft.com/office/drawing/2014/main" id="{00000000-0008-0000-0200-00000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3</xdr:col>
          <xdr:colOff>441960</xdr:colOff>
          <xdr:row>34</xdr:row>
          <xdr:rowOff>160020</xdr:rowOff>
        </xdr:to>
        <xdr:sp macro="" textlink="">
          <xdr:nvSpPr>
            <xdr:cNvPr id="37902" name="Check Box 14" hidden="1">
              <a:extLst>
                <a:ext uri="{63B3BB69-23CF-44E3-9099-C40C66FF867C}">
                  <a14:compatExt spid="_x0000_s37902"/>
                </a:ext>
                <a:ext uri="{FF2B5EF4-FFF2-40B4-BE49-F238E27FC236}">
                  <a16:creationId xmlns:a16="http://schemas.microsoft.com/office/drawing/2014/main" id="{00000000-0008-0000-0200-00000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3</xdr:col>
          <xdr:colOff>1394460</xdr:colOff>
          <xdr:row>33</xdr:row>
          <xdr:rowOff>182880</xdr:rowOff>
        </xdr:to>
        <xdr:sp macro="" textlink="">
          <xdr:nvSpPr>
            <xdr:cNvPr id="37903" name="Check Box 15" hidden="1">
              <a:extLst>
                <a:ext uri="{63B3BB69-23CF-44E3-9099-C40C66FF867C}">
                  <a14:compatExt spid="_x0000_s37903"/>
                </a:ext>
                <a:ext uri="{FF2B5EF4-FFF2-40B4-BE49-F238E27FC236}">
                  <a16:creationId xmlns:a16="http://schemas.microsoft.com/office/drawing/2014/main" id="{00000000-0008-0000-0200-00000F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30480</xdr:rowOff>
        </xdr:from>
        <xdr:to>
          <xdr:col>4</xdr:col>
          <xdr:colOff>5212080</xdr:colOff>
          <xdr:row>36</xdr:row>
          <xdr:rowOff>160020</xdr:rowOff>
        </xdr:to>
        <xdr:sp macro="" textlink="">
          <xdr:nvSpPr>
            <xdr:cNvPr id="37904" name="Check Box 16" hidden="1">
              <a:extLst>
                <a:ext uri="{63B3BB69-23CF-44E3-9099-C40C66FF867C}">
                  <a14:compatExt spid="_x0000_s37904"/>
                </a:ext>
                <a:ext uri="{FF2B5EF4-FFF2-40B4-BE49-F238E27FC236}">
                  <a16:creationId xmlns:a16="http://schemas.microsoft.com/office/drawing/2014/main" id="{00000000-0008-0000-0200-00001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37</xdr:row>
          <xdr:rowOff>30480</xdr:rowOff>
        </xdr:from>
        <xdr:to>
          <xdr:col>5</xdr:col>
          <xdr:colOff>106680</xdr:colOff>
          <xdr:row>38</xdr:row>
          <xdr:rowOff>0</xdr:rowOff>
        </xdr:to>
        <xdr:sp macro="" textlink="">
          <xdr:nvSpPr>
            <xdr:cNvPr id="37905" name="Check Box 17" hidden="1">
              <a:extLst>
                <a:ext uri="{63B3BB69-23CF-44E3-9099-C40C66FF867C}">
                  <a14:compatExt spid="_x0000_s37905"/>
                </a:ext>
                <a:ext uri="{FF2B5EF4-FFF2-40B4-BE49-F238E27FC236}">
                  <a16:creationId xmlns:a16="http://schemas.microsoft.com/office/drawing/2014/main" id="{00000000-0008-0000-0200-00001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4</xdr:col>
          <xdr:colOff>4267200</xdr:colOff>
          <xdr:row>39</xdr:row>
          <xdr:rowOff>0</xdr:rowOff>
        </xdr:to>
        <xdr:sp macro="" textlink="">
          <xdr:nvSpPr>
            <xdr:cNvPr id="37906" name="Check Box 18" hidden="1">
              <a:extLst>
                <a:ext uri="{63B3BB69-23CF-44E3-9099-C40C66FF867C}">
                  <a14:compatExt spid="_x0000_s37906"/>
                </a:ext>
                <a:ext uri="{FF2B5EF4-FFF2-40B4-BE49-F238E27FC236}">
                  <a16:creationId xmlns:a16="http://schemas.microsoft.com/office/drawing/2014/main" id="{00000000-0008-0000-0200-00001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37907" name="Check Box 19" hidden="1">
              <a:extLst>
                <a:ext uri="{63B3BB69-23CF-44E3-9099-C40C66FF867C}">
                  <a14:compatExt spid="_x0000_s37907"/>
                </a:ext>
                <a:ext uri="{FF2B5EF4-FFF2-40B4-BE49-F238E27FC236}">
                  <a16:creationId xmlns:a16="http://schemas.microsoft.com/office/drawing/2014/main" id="{00000000-0008-0000-0200-00001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2</xdr:col>
          <xdr:colOff>3108960</xdr:colOff>
          <xdr:row>33</xdr:row>
          <xdr:rowOff>7620</xdr:rowOff>
        </xdr:to>
        <xdr:sp macro="" textlink="">
          <xdr:nvSpPr>
            <xdr:cNvPr id="37908" name="Check Box 20" hidden="1">
              <a:extLst>
                <a:ext uri="{63B3BB69-23CF-44E3-9099-C40C66FF867C}">
                  <a14:compatExt spid="_x0000_s37908"/>
                </a:ext>
                <a:ext uri="{FF2B5EF4-FFF2-40B4-BE49-F238E27FC236}">
                  <a16:creationId xmlns:a16="http://schemas.microsoft.com/office/drawing/2014/main" id="{00000000-0008-0000-0200-00001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3</xdr:col>
          <xdr:colOff>441960</xdr:colOff>
          <xdr:row>34</xdr:row>
          <xdr:rowOff>160020</xdr:rowOff>
        </xdr:to>
        <xdr:sp macro="" textlink="">
          <xdr:nvSpPr>
            <xdr:cNvPr id="37909" name="Check Box 21" hidden="1">
              <a:extLst>
                <a:ext uri="{63B3BB69-23CF-44E3-9099-C40C66FF867C}">
                  <a14:compatExt spid="_x0000_s37909"/>
                </a:ext>
                <a:ext uri="{FF2B5EF4-FFF2-40B4-BE49-F238E27FC236}">
                  <a16:creationId xmlns:a16="http://schemas.microsoft.com/office/drawing/2014/main" id="{00000000-0008-0000-0200-00001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3</xdr:col>
          <xdr:colOff>1394460</xdr:colOff>
          <xdr:row>33</xdr:row>
          <xdr:rowOff>182880</xdr:rowOff>
        </xdr:to>
        <xdr:sp macro="" textlink="">
          <xdr:nvSpPr>
            <xdr:cNvPr id="37910" name="Check Box 22" hidden="1">
              <a:extLst>
                <a:ext uri="{63B3BB69-23CF-44E3-9099-C40C66FF867C}">
                  <a14:compatExt spid="_x0000_s37910"/>
                </a:ext>
                <a:ext uri="{FF2B5EF4-FFF2-40B4-BE49-F238E27FC236}">
                  <a16:creationId xmlns:a16="http://schemas.microsoft.com/office/drawing/2014/main" id="{00000000-0008-0000-0200-00001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4</xdr:col>
          <xdr:colOff>4267200</xdr:colOff>
          <xdr:row>39</xdr:row>
          <xdr:rowOff>0</xdr:rowOff>
        </xdr:to>
        <xdr:sp macro="" textlink="">
          <xdr:nvSpPr>
            <xdr:cNvPr id="37911" name="Check Box 23" hidden="1">
              <a:extLst>
                <a:ext uri="{63B3BB69-23CF-44E3-9099-C40C66FF867C}">
                  <a14:compatExt spid="_x0000_s37911"/>
                </a:ext>
                <a:ext uri="{FF2B5EF4-FFF2-40B4-BE49-F238E27FC236}">
                  <a16:creationId xmlns:a16="http://schemas.microsoft.com/office/drawing/2014/main" id="{00000000-0008-0000-0200-00001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37912" name="Check Box 24" hidden="1">
              <a:extLst>
                <a:ext uri="{63B3BB69-23CF-44E3-9099-C40C66FF867C}">
                  <a14:compatExt spid="_x0000_s37912"/>
                </a:ext>
                <a:ext uri="{FF2B5EF4-FFF2-40B4-BE49-F238E27FC236}">
                  <a16:creationId xmlns:a16="http://schemas.microsoft.com/office/drawing/2014/main" id="{00000000-0008-0000-0200-00001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34</xdr:row>
          <xdr:rowOff>7620</xdr:rowOff>
        </xdr:from>
        <xdr:to>
          <xdr:col>3</xdr:col>
          <xdr:colOff>784860</xdr:colOff>
          <xdr:row>35</xdr:row>
          <xdr:rowOff>38100</xdr:rowOff>
        </xdr:to>
        <xdr:sp macro="" textlink="">
          <xdr:nvSpPr>
            <xdr:cNvPr id="37913" name="Check Box 25" hidden="1">
              <a:extLst>
                <a:ext uri="{63B3BB69-23CF-44E3-9099-C40C66FF867C}">
                  <a14:compatExt spid="_x0000_s37913"/>
                </a:ext>
                <a:ext uri="{FF2B5EF4-FFF2-40B4-BE49-F238E27FC236}">
                  <a16:creationId xmlns:a16="http://schemas.microsoft.com/office/drawing/2014/main" id="{00000000-0008-0000-01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Կորոնավիրուսի համավարակի հետևանքների հաղթահարում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35</xdr:row>
          <xdr:rowOff>0</xdr:rowOff>
        </xdr:from>
        <xdr:to>
          <xdr:col>2</xdr:col>
          <xdr:colOff>3108960</xdr:colOff>
          <xdr:row>36</xdr:row>
          <xdr:rowOff>7620</xdr:rowOff>
        </xdr:to>
        <xdr:sp macro="" textlink="">
          <xdr:nvSpPr>
            <xdr:cNvPr id="37914" name="Check Box 26" hidden="1">
              <a:extLst>
                <a:ext uri="{63B3BB69-23CF-44E3-9099-C40C66FF867C}">
                  <a14:compatExt spid="_x0000_s37914"/>
                </a:ext>
                <a:ext uri="{FF2B5EF4-FFF2-40B4-BE49-F238E27FC236}">
                  <a16:creationId xmlns:a16="http://schemas.microsoft.com/office/drawing/2014/main" id="{00000000-0008-0000-01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37</xdr:row>
          <xdr:rowOff>0</xdr:rowOff>
        </xdr:from>
        <xdr:to>
          <xdr:col>3</xdr:col>
          <xdr:colOff>441960</xdr:colOff>
          <xdr:row>37</xdr:row>
          <xdr:rowOff>160020</xdr:rowOff>
        </xdr:to>
        <xdr:sp macro="" textlink="">
          <xdr:nvSpPr>
            <xdr:cNvPr id="37915" name="Check Box 27" hidden="1">
              <a:extLst>
                <a:ext uri="{63B3BB69-23CF-44E3-9099-C40C66FF867C}">
                  <a14:compatExt spid="_x0000_s37915"/>
                </a:ext>
                <a:ext uri="{FF2B5EF4-FFF2-40B4-BE49-F238E27FC236}">
                  <a16:creationId xmlns:a16="http://schemas.microsoft.com/office/drawing/2014/main" id="{00000000-0008-0000-01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35</xdr:row>
          <xdr:rowOff>182880</xdr:rowOff>
        </xdr:from>
        <xdr:to>
          <xdr:col>3</xdr:col>
          <xdr:colOff>1356360</xdr:colOff>
          <xdr:row>37</xdr:row>
          <xdr:rowOff>22860</xdr:rowOff>
        </xdr:to>
        <xdr:sp macro="" textlink="">
          <xdr:nvSpPr>
            <xdr:cNvPr id="37916" name="Check Box 28" hidden="1">
              <a:extLst>
                <a:ext uri="{63B3BB69-23CF-44E3-9099-C40C66FF867C}">
                  <a14:compatExt spid="_x0000_s37916"/>
                </a:ext>
                <a:ext uri="{FF2B5EF4-FFF2-40B4-BE49-F238E27FC236}">
                  <a16:creationId xmlns:a16="http://schemas.microsoft.com/office/drawing/2014/main" id="{00000000-0008-0000-01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39</xdr:row>
          <xdr:rowOff>30480</xdr:rowOff>
        </xdr:from>
        <xdr:to>
          <xdr:col>4</xdr:col>
          <xdr:colOff>5212080</xdr:colOff>
          <xdr:row>39</xdr:row>
          <xdr:rowOff>160020</xdr:rowOff>
        </xdr:to>
        <xdr:sp macro="" textlink="">
          <xdr:nvSpPr>
            <xdr:cNvPr id="37917" name="Check Box 29" hidden="1">
              <a:extLst>
                <a:ext uri="{63B3BB69-23CF-44E3-9099-C40C66FF867C}">
                  <a14:compatExt spid="_x0000_s37917"/>
                </a:ext>
                <a:ext uri="{FF2B5EF4-FFF2-40B4-BE49-F238E27FC236}">
                  <a16:creationId xmlns:a16="http://schemas.microsoft.com/office/drawing/2014/main" id="{00000000-0008-0000-01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40</xdr:row>
          <xdr:rowOff>30480</xdr:rowOff>
        </xdr:from>
        <xdr:to>
          <xdr:col>5</xdr:col>
          <xdr:colOff>106680</xdr:colOff>
          <xdr:row>41</xdr:row>
          <xdr:rowOff>0</xdr:rowOff>
        </xdr:to>
        <xdr:sp macro="" textlink="">
          <xdr:nvSpPr>
            <xdr:cNvPr id="37918" name="Check Box 30" hidden="1">
              <a:extLst>
                <a:ext uri="{63B3BB69-23CF-44E3-9099-C40C66FF867C}">
                  <a14:compatExt spid="_x0000_s37918"/>
                </a:ext>
                <a:ext uri="{FF2B5EF4-FFF2-40B4-BE49-F238E27FC236}">
                  <a16:creationId xmlns:a16="http://schemas.microsoft.com/office/drawing/2014/main" id="{00000000-0008-0000-01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41</xdr:row>
          <xdr:rowOff>7620</xdr:rowOff>
        </xdr:from>
        <xdr:to>
          <xdr:col>4</xdr:col>
          <xdr:colOff>4251960</xdr:colOff>
          <xdr:row>42</xdr:row>
          <xdr:rowOff>0</xdr:rowOff>
        </xdr:to>
        <xdr:sp macro="" textlink="">
          <xdr:nvSpPr>
            <xdr:cNvPr id="37919" name="Check Box 31" hidden="1">
              <a:extLst>
                <a:ext uri="{63B3BB69-23CF-44E3-9099-C40C66FF867C}">
                  <a14:compatExt spid="_x0000_s37919"/>
                </a:ext>
                <a:ext uri="{FF2B5EF4-FFF2-40B4-BE49-F238E27FC236}">
                  <a16:creationId xmlns:a16="http://schemas.microsoft.com/office/drawing/2014/main" id="{00000000-0008-0000-01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37920" name="Check Box 32" hidden="1">
              <a:extLst>
                <a:ext uri="{63B3BB69-23CF-44E3-9099-C40C66FF867C}">
                  <a14:compatExt spid="_x0000_s37920"/>
                </a:ext>
                <a:ext uri="{FF2B5EF4-FFF2-40B4-BE49-F238E27FC236}">
                  <a16:creationId xmlns:a16="http://schemas.microsoft.com/office/drawing/2014/main" id="{00000000-0008-0000-01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4</xdr:col>
          <xdr:colOff>1013460</xdr:colOff>
          <xdr:row>33</xdr:row>
          <xdr:rowOff>7620</xdr:rowOff>
        </xdr:to>
        <xdr:sp macro="" textlink="">
          <xdr:nvSpPr>
            <xdr:cNvPr id="38913" name="Check Box 1" hidden="1">
              <a:extLst>
                <a:ext uri="{63B3BB69-23CF-44E3-9099-C40C66FF867C}">
                  <a14:compatExt spid="_x0000_s38913"/>
                </a:ext>
                <a:ext uri="{FF2B5EF4-FFF2-40B4-BE49-F238E27FC236}">
                  <a16:creationId xmlns:a16="http://schemas.microsoft.com/office/drawing/2014/main" id="{00000000-0008-0000-02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5</xdr:col>
          <xdr:colOff>822960</xdr:colOff>
          <xdr:row>34</xdr:row>
          <xdr:rowOff>160020</xdr:rowOff>
        </xdr:to>
        <xdr:sp macro="" textlink="">
          <xdr:nvSpPr>
            <xdr:cNvPr id="38914" name="Check Box 2" hidden="1">
              <a:extLst>
                <a:ext uri="{63B3BB69-23CF-44E3-9099-C40C66FF867C}">
                  <a14:compatExt spid="_x0000_s38914"/>
                </a:ext>
                <a:ext uri="{FF2B5EF4-FFF2-40B4-BE49-F238E27FC236}">
                  <a16:creationId xmlns:a16="http://schemas.microsoft.com/office/drawing/2014/main" id="{00000000-0008-0000-02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6</xdr:col>
          <xdr:colOff>769620</xdr:colOff>
          <xdr:row>33</xdr:row>
          <xdr:rowOff>182880</xdr:rowOff>
        </xdr:to>
        <xdr:sp macro="" textlink="">
          <xdr:nvSpPr>
            <xdr:cNvPr id="38915" name="Check Box 3" hidden="1">
              <a:extLst>
                <a:ext uri="{63B3BB69-23CF-44E3-9099-C40C66FF867C}">
                  <a14:compatExt spid="_x0000_s38915"/>
                </a:ext>
                <a:ext uri="{FF2B5EF4-FFF2-40B4-BE49-F238E27FC236}">
                  <a16:creationId xmlns:a16="http://schemas.microsoft.com/office/drawing/2014/main" id="{00000000-0008-0000-0200-00000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30480</xdr:rowOff>
        </xdr:from>
        <xdr:to>
          <xdr:col>19</xdr:col>
          <xdr:colOff>114300</xdr:colOff>
          <xdr:row>36</xdr:row>
          <xdr:rowOff>160020</xdr:rowOff>
        </xdr:to>
        <xdr:sp macro="" textlink="">
          <xdr:nvSpPr>
            <xdr:cNvPr id="38916" name="Check Box 4" hidden="1">
              <a:extLst>
                <a:ext uri="{63B3BB69-23CF-44E3-9099-C40C66FF867C}">
                  <a14:compatExt spid="_x0000_s38916"/>
                </a:ext>
                <a:ext uri="{FF2B5EF4-FFF2-40B4-BE49-F238E27FC236}">
                  <a16:creationId xmlns:a16="http://schemas.microsoft.com/office/drawing/2014/main" id="{00000000-0008-0000-0200-00000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37</xdr:row>
          <xdr:rowOff>30480</xdr:rowOff>
        </xdr:from>
        <xdr:to>
          <xdr:col>19</xdr:col>
          <xdr:colOff>502920</xdr:colOff>
          <xdr:row>38</xdr:row>
          <xdr:rowOff>0</xdr:rowOff>
        </xdr:to>
        <xdr:sp macro="" textlink="">
          <xdr:nvSpPr>
            <xdr:cNvPr id="38917" name="Check Box 5" hidden="1">
              <a:extLst>
                <a:ext uri="{63B3BB69-23CF-44E3-9099-C40C66FF867C}">
                  <a14:compatExt spid="_x0000_s38917"/>
                </a:ext>
                <a:ext uri="{FF2B5EF4-FFF2-40B4-BE49-F238E27FC236}">
                  <a16:creationId xmlns:a16="http://schemas.microsoft.com/office/drawing/2014/main" id="{00000000-0008-0000-0200-00000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17</xdr:col>
          <xdr:colOff>419100</xdr:colOff>
          <xdr:row>39</xdr:row>
          <xdr:rowOff>0</xdr:rowOff>
        </xdr:to>
        <xdr:sp macro="" textlink="">
          <xdr:nvSpPr>
            <xdr:cNvPr id="38918" name="Check Box 6" hidden="1">
              <a:extLst>
                <a:ext uri="{63B3BB69-23CF-44E3-9099-C40C66FF867C}">
                  <a14:compatExt spid="_x0000_s38918"/>
                </a:ext>
                <a:ext uri="{FF2B5EF4-FFF2-40B4-BE49-F238E27FC236}">
                  <a16:creationId xmlns:a16="http://schemas.microsoft.com/office/drawing/2014/main" id="{00000000-0008-0000-0200-00000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38919" name="Check Box 7" hidden="1">
              <a:extLst>
                <a:ext uri="{63B3BB69-23CF-44E3-9099-C40C66FF867C}">
                  <a14:compatExt spid="_x0000_s38919"/>
                </a:ext>
                <a:ext uri="{FF2B5EF4-FFF2-40B4-BE49-F238E27FC236}">
                  <a16:creationId xmlns:a16="http://schemas.microsoft.com/office/drawing/2014/main" id="{00000000-0008-0000-0200-00000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4</xdr:col>
          <xdr:colOff>1013460</xdr:colOff>
          <xdr:row>33</xdr:row>
          <xdr:rowOff>7620</xdr:rowOff>
        </xdr:to>
        <xdr:sp macro="" textlink="">
          <xdr:nvSpPr>
            <xdr:cNvPr id="38920" name="Check Box 8" hidden="1">
              <a:extLst>
                <a:ext uri="{63B3BB69-23CF-44E3-9099-C40C66FF867C}">
                  <a14:compatExt spid="_x0000_s38920"/>
                </a:ext>
                <a:ext uri="{FF2B5EF4-FFF2-40B4-BE49-F238E27FC236}">
                  <a16:creationId xmlns:a16="http://schemas.microsoft.com/office/drawing/2014/main" id="{00000000-0008-0000-0200-00000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5</xdr:col>
          <xdr:colOff>822960</xdr:colOff>
          <xdr:row>34</xdr:row>
          <xdr:rowOff>160020</xdr:rowOff>
        </xdr:to>
        <xdr:sp macro="" textlink="">
          <xdr:nvSpPr>
            <xdr:cNvPr id="38921" name="Check Box 9" hidden="1">
              <a:extLst>
                <a:ext uri="{63B3BB69-23CF-44E3-9099-C40C66FF867C}">
                  <a14:compatExt spid="_x0000_s38921"/>
                </a:ext>
                <a:ext uri="{FF2B5EF4-FFF2-40B4-BE49-F238E27FC236}">
                  <a16:creationId xmlns:a16="http://schemas.microsoft.com/office/drawing/2014/main" id="{00000000-0008-0000-0200-00000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6</xdr:col>
          <xdr:colOff>769620</xdr:colOff>
          <xdr:row>33</xdr:row>
          <xdr:rowOff>182880</xdr:rowOff>
        </xdr:to>
        <xdr:sp macro="" textlink="">
          <xdr:nvSpPr>
            <xdr:cNvPr id="38922" name="Check Box 10" hidden="1">
              <a:extLst>
                <a:ext uri="{63B3BB69-23CF-44E3-9099-C40C66FF867C}">
                  <a14:compatExt spid="_x0000_s38922"/>
                </a:ext>
                <a:ext uri="{FF2B5EF4-FFF2-40B4-BE49-F238E27FC236}">
                  <a16:creationId xmlns:a16="http://schemas.microsoft.com/office/drawing/2014/main" id="{00000000-0008-0000-0200-00000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17</xdr:col>
          <xdr:colOff>419100</xdr:colOff>
          <xdr:row>39</xdr:row>
          <xdr:rowOff>0</xdr:rowOff>
        </xdr:to>
        <xdr:sp macro="" textlink="">
          <xdr:nvSpPr>
            <xdr:cNvPr id="38923" name="Check Box 11" hidden="1">
              <a:extLst>
                <a:ext uri="{63B3BB69-23CF-44E3-9099-C40C66FF867C}">
                  <a14:compatExt spid="_x0000_s38923"/>
                </a:ext>
                <a:ext uri="{FF2B5EF4-FFF2-40B4-BE49-F238E27FC236}">
                  <a16:creationId xmlns:a16="http://schemas.microsoft.com/office/drawing/2014/main" id="{00000000-0008-0000-0200-00000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38924" name="Check Box 12" hidden="1">
              <a:extLst>
                <a:ext uri="{63B3BB69-23CF-44E3-9099-C40C66FF867C}">
                  <a14:compatExt spid="_x0000_s38924"/>
                </a:ext>
                <a:ext uri="{FF2B5EF4-FFF2-40B4-BE49-F238E27FC236}">
                  <a16:creationId xmlns:a16="http://schemas.microsoft.com/office/drawing/2014/main" id="{00000000-0008-0000-0200-00000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4</xdr:col>
          <xdr:colOff>1013460</xdr:colOff>
          <xdr:row>33</xdr:row>
          <xdr:rowOff>7620</xdr:rowOff>
        </xdr:to>
        <xdr:sp macro="" textlink="">
          <xdr:nvSpPr>
            <xdr:cNvPr id="38925" name="Check Box 13" hidden="1">
              <a:extLst>
                <a:ext uri="{63B3BB69-23CF-44E3-9099-C40C66FF867C}">
                  <a14:compatExt spid="_x0000_s38925"/>
                </a:ext>
                <a:ext uri="{FF2B5EF4-FFF2-40B4-BE49-F238E27FC236}">
                  <a16:creationId xmlns:a16="http://schemas.microsoft.com/office/drawing/2014/main" id="{00000000-0008-0000-0200-00000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5</xdr:col>
          <xdr:colOff>822960</xdr:colOff>
          <xdr:row>34</xdr:row>
          <xdr:rowOff>160020</xdr:rowOff>
        </xdr:to>
        <xdr:sp macro="" textlink="">
          <xdr:nvSpPr>
            <xdr:cNvPr id="38926" name="Check Box 14" hidden="1">
              <a:extLst>
                <a:ext uri="{63B3BB69-23CF-44E3-9099-C40C66FF867C}">
                  <a14:compatExt spid="_x0000_s38926"/>
                </a:ext>
                <a:ext uri="{FF2B5EF4-FFF2-40B4-BE49-F238E27FC236}">
                  <a16:creationId xmlns:a16="http://schemas.microsoft.com/office/drawing/2014/main" id="{00000000-0008-0000-0200-00000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6</xdr:col>
          <xdr:colOff>769620</xdr:colOff>
          <xdr:row>33</xdr:row>
          <xdr:rowOff>182880</xdr:rowOff>
        </xdr:to>
        <xdr:sp macro="" textlink="">
          <xdr:nvSpPr>
            <xdr:cNvPr id="38927" name="Check Box 15" hidden="1">
              <a:extLst>
                <a:ext uri="{63B3BB69-23CF-44E3-9099-C40C66FF867C}">
                  <a14:compatExt spid="_x0000_s38927"/>
                </a:ext>
                <a:ext uri="{FF2B5EF4-FFF2-40B4-BE49-F238E27FC236}">
                  <a16:creationId xmlns:a16="http://schemas.microsoft.com/office/drawing/2014/main" id="{00000000-0008-0000-0200-00000F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30480</xdr:rowOff>
        </xdr:from>
        <xdr:to>
          <xdr:col>19</xdr:col>
          <xdr:colOff>114300</xdr:colOff>
          <xdr:row>36</xdr:row>
          <xdr:rowOff>160020</xdr:rowOff>
        </xdr:to>
        <xdr:sp macro="" textlink="">
          <xdr:nvSpPr>
            <xdr:cNvPr id="38928" name="Check Box 16" hidden="1">
              <a:extLst>
                <a:ext uri="{63B3BB69-23CF-44E3-9099-C40C66FF867C}">
                  <a14:compatExt spid="_x0000_s38928"/>
                </a:ext>
                <a:ext uri="{FF2B5EF4-FFF2-40B4-BE49-F238E27FC236}">
                  <a16:creationId xmlns:a16="http://schemas.microsoft.com/office/drawing/2014/main" id="{00000000-0008-0000-0200-00001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37</xdr:row>
          <xdr:rowOff>30480</xdr:rowOff>
        </xdr:from>
        <xdr:to>
          <xdr:col>19</xdr:col>
          <xdr:colOff>502920</xdr:colOff>
          <xdr:row>38</xdr:row>
          <xdr:rowOff>0</xdr:rowOff>
        </xdr:to>
        <xdr:sp macro="" textlink="">
          <xdr:nvSpPr>
            <xdr:cNvPr id="38929" name="Check Box 17" hidden="1">
              <a:extLst>
                <a:ext uri="{63B3BB69-23CF-44E3-9099-C40C66FF867C}">
                  <a14:compatExt spid="_x0000_s38929"/>
                </a:ext>
                <a:ext uri="{FF2B5EF4-FFF2-40B4-BE49-F238E27FC236}">
                  <a16:creationId xmlns:a16="http://schemas.microsoft.com/office/drawing/2014/main" id="{00000000-0008-0000-0200-00001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17</xdr:col>
          <xdr:colOff>419100</xdr:colOff>
          <xdr:row>39</xdr:row>
          <xdr:rowOff>0</xdr:rowOff>
        </xdr:to>
        <xdr:sp macro="" textlink="">
          <xdr:nvSpPr>
            <xdr:cNvPr id="38930" name="Check Box 18" hidden="1">
              <a:extLst>
                <a:ext uri="{63B3BB69-23CF-44E3-9099-C40C66FF867C}">
                  <a14:compatExt spid="_x0000_s38930"/>
                </a:ext>
                <a:ext uri="{FF2B5EF4-FFF2-40B4-BE49-F238E27FC236}">
                  <a16:creationId xmlns:a16="http://schemas.microsoft.com/office/drawing/2014/main" id="{00000000-0008-0000-0200-00001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38931" name="Check Box 19" hidden="1">
              <a:extLst>
                <a:ext uri="{63B3BB69-23CF-44E3-9099-C40C66FF867C}">
                  <a14:compatExt spid="_x0000_s38931"/>
                </a:ext>
                <a:ext uri="{FF2B5EF4-FFF2-40B4-BE49-F238E27FC236}">
                  <a16:creationId xmlns:a16="http://schemas.microsoft.com/office/drawing/2014/main" id="{00000000-0008-0000-0200-00001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4</xdr:col>
          <xdr:colOff>1013460</xdr:colOff>
          <xdr:row>33</xdr:row>
          <xdr:rowOff>7620</xdr:rowOff>
        </xdr:to>
        <xdr:sp macro="" textlink="">
          <xdr:nvSpPr>
            <xdr:cNvPr id="38932" name="Check Box 20" hidden="1">
              <a:extLst>
                <a:ext uri="{63B3BB69-23CF-44E3-9099-C40C66FF867C}">
                  <a14:compatExt spid="_x0000_s38932"/>
                </a:ext>
                <a:ext uri="{FF2B5EF4-FFF2-40B4-BE49-F238E27FC236}">
                  <a16:creationId xmlns:a16="http://schemas.microsoft.com/office/drawing/2014/main" id="{00000000-0008-0000-0200-00001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5</xdr:col>
          <xdr:colOff>822960</xdr:colOff>
          <xdr:row>34</xdr:row>
          <xdr:rowOff>160020</xdr:rowOff>
        </xdr:to>
        <xdr:sp macro="" textlink="">
          <xdr:nvSpPr>
            <xdr:cNvPr id="38933" name="Check Box 21" hidden="1">
              <a:extLst>
                <a:ext uri="{63B3BB69-23CF-44E3-9099-C40C66FF867C}">
                  <a14:compatExt spid="_x0000_s38933"/>
                </a:ext>
                <a:ext uri="{FF2B5EF4-FFF2-40B4-BE49-F238E27FC236}">
                  <a16:creationId xmlns:a16="http://schemas.microsoft.com/office/drawing/2014/main" id="{00000000-0008-0000-0200-00001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6</xdr:col>
          <xdr:colOff>769620</xdr:colOff>
          <xdr:row>33</xdr:row>
          <xdr:rowOff>182880</xdr:rowOff>
        </xdr:to>
        <xdr:sp macro="" textlink="">
          <xdr:nvSpPr>
            <xdr:cNvPr id="38934" name="Check Box 22" hidden="1">
              <a:extLst>
                <a:ext uri="{63B3BB69-23CF-44E3-9099-C40C66FF867C}">
                  <a14:compatExt spid="_x0000_s38934"/>
                </a:ext>
                <a:ext uri="{FF2B5EF4-FFF2-40B4-BE49-F238E27FC236}">
                  <a16:creationId xmlns:a16="http://schemas.microsoft.com/office/drawing/2014/main" id="{00000000-0008-0000-0200-00001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17</xdr:col>
          <xdr:colOff>419100</xdr:colOff>
          <xdr:row>39</xdr:row>
          <xdr:rowOff>0</xdr:rowOff>
        </xdr:to>
        <xdr:sp macro="" textlink="">
          <xdr:nvSpPr>
            <xdr:cNvPr id="38935" name="Check Box 23" hidden="1">
              <a:extLst>
                <a:ext uri="{63B3BB69-23CF-44E3-9099-C40C66FF867C}">
                  <a14:compatExt spid="_x0000_s38935"/>
                </a:ext>
                <a:ext uri="{FF2B5EF4-FFF2-40B4-BE49-F238E27FC236}">
                  <a16:creationId xmlns:a16="http://schemas.microsoft.com/office/drawing/2014/main" id="{00000000-0008-0000-0200-00001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22860</xdr:rowOff>
        </xdr:to>
        <xdr:sp macro="" textlink="">
          <xdr:nvSpPr>
            <xdr:cNvPr id="38936" name="Check Box 24" hidden="1">
              <a:extLst>
                <a:ext uri="{63B3BB69-23CF-44E3-9099-C40C66FF867C}">
                  <a14:compatExt spid="_x0000_s38936"/>
                </a:ext>
                <a:ext uri="{FF2B5EF4-FFF2-40B4-BE49-F238E27FC236}">
                  <a16:creationId xmlns:a16="http://schemas.microsoft.com/office/drawing/2014/main" id="{00000000-0008-0000-0200-00001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34</xdr:row>
          <xdr:rowOff>7620</xdr:rowOff>
        </xdr:from>
        <xdr:to>
          <xdr:col>6</xdr:col>
          <xdr:colOff>182880</xdr:colOff>
          <xdr:row>35</xdr:row>
          <xdr:rowOff>38100</xdr:rowOff>
        </xdr:to>
        <xdr:sp macro="" textlink="">
          <xdr:nvSpPr>
            <xdr:cNvPr id="38937" name="Check Box 25" hidden="1">
              <a:extLst>
                <a:ext uri="{63B3BB69-23CF-44E3-9099-C40C66FF867C}">
                  <a14:compatExt spid="_x0000_s38937"/>
                </a:ext>
                <a:ext uri="{FF2B5EF4-FFF2-40B4-BE49-F238E27FC236}">
                  <a16:creationId xmlns:a16="http://schemas.microsoft.com/office/drawing/2014/main" id="{00000000-0008-0000-01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Կորոնավիրուսի համավարակի հետևանքների հաղթահարում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35</xdr:row>
          <xdr:rowOff>0</xdr:rowOff>
        </xdr:from>
        <xdr:to>
          <xdr:col>4</xdr:col>
          <xdr:colOff>1059180</xdr:colOff>
          <xdr:row>36</xdr:row>
          <xdr:rowOff>7620</xdr:rowOff>
        </xdr:to>
        <xdr:sp macro="" textlink="">
          <xdr:nvSpPr>
            <xdr:cNvPr id="38938" name="Check Box 26" hidden="1">
              <a:extLst>
                <a:ext uri="{63B3BB69-23CF-44E3-9099-C40C66FF867C}">
                  <a14:compatExt spid="_x0000_s38938"/>
                </a:ext>
                <a:ext uri="{FF2B5EF4-FFF2-40B4-BE49-F238E27FC236}">
                  <a16:creationId xmlns:a16="http://schemas.microsoft.com/office/drawing/2014/main" id="{00000000-0008-0000-01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37</xdr:row>
          <xdr:rowOff>0</xdr:rowOff>
        </xdr:from>
        <xdr:to>
          <xdr:col>5</xdr:col>
          <xdr:colOff>807720</xdr:colOff>
          <xdr:row>37</xdr:row>
          <xdr:rowOff>160020</xdr:rowOff>
        </xdr:to>
        <xdr:sp macro="" textlink="">
          <xdr:nvSpPr>
            <xdr:cNvPr id="38939" name="Check Box 27" hidden="1">
              <a:extLst>
                <a:ext uri="{63B3BB69-23CF-44E3-9099-C40C66FF867C}">
                  <a14:compatExt spid="_x0000_s38939"/>
                </a:ext>
                <a:ext uri="{FF2B5EF4-FFF2-40B4-BE49-F238E27FC236}">
                  <a16:creationId xmlns:a16="http://schemas.microsoft.com/office/drawing/2014/main" id="{00000000-0008-0000-01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35</xdr:row>
          <xdr:rowOff>182880</xdr:rowOff>
        </xdr:from>
        <xdr:to>
          <xdr:col>6</xdr:col>
          <xdr:colOff>746760</xdr:colOff>
          <xdr:row>37</xdr:row>
          <xdr:rowOff>22860</xdr:rowOff>
        </xdr:to>
        <xdr:sp macro="" textlink="">
          <xdr:nvSpPr>
            <xdr:cNvPr id="38940" name="Check Box 28" hidden="1">
              <a:extLst>
                <a:ext uri="{63B3BB69-23CF-44E3-9099-C40C66FF867C}">
                  <a14:compatExt spid="_x0000_s38940"/>
                </a:ext>
                <a:ext uri="{FF2B5EF4-FFF2-40B4-BE49-F238E27FC236}">
                  <a16:creationId xmlns:a16="http://schemas.microsoft.com/office/drawing/2014/main" id="{00000000-0008-0000-01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39</xdr:row>
          <xdr:rowOff>30480</xdr:rowOff>
        </xdr:from>
        <xdr:to>
          <xdr:col>19</xdr:col>
          <xdr:colOff>99060</xdr:colOff>
          <xdr:row>39</xdr:row>
          <xdr:rowOff>160020</xdr:rowOff>
        </xdr:to>
        <xdr:sp macro="" textlink="">
          <xdr:nvSpPr>
            <xdr:cNvPr id="38941" name="Check Box 29" hidden="1">
              <a:extLst>
                <a:ext uri="{63B3BB69-23CF-44E3-9099-C40C66FF867C}">
                  <a14:compatExt spid="_x0000_s38941"/>
                </a:ext>
                <a:ext uri="{FF2B5EF4-FFF2-40B4-BE49-F238E27FC236}">
                  <a16:creationId xmlns:a16="http://schemas.microsoft.com/office/drawing/2014/main" id="{00000000-0008-0000-01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40</xdr:row>
          <xdr:rowOff>30480</xdr:rowOff>
        </xdr:from>
        <xdr:to>
          <xdr:col>19</xdr:col>
          <xdr:colOff>464820</xdr:colOff>
          <xdr:row>41</xdr:row>
          <xdr:rowOff>0</xdr:rowOff>
        </xdr:to>
        <xdr:sp macro="" textlink="">
          <xdr:nvSpPr>
            <xdr:cNvPr id="38942" name="Check Box 30" hidden="1">
              <a:extLst>
                <a:ext uri="{63B3BB69-23CF-44E3-9099-C40C66FF867C}">
                  <a14:compatExt spid="_x0000_s38942"/>
                </a:ext>
                <a:ext uri="{FF2B5EF4-FFF2-40B4-BE49-F238E27FC236}">
                  <a16:creationId xmlns:a16="http://schemas.microsoft.com/office/drawing/2014/main" id="{00000000-0008-0000-01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41</xdr:row>
          <xdr:rowOff>7620</xdr:rowOff>
        </xdr:from>
        <xdr:to>
          <xdr:col>17</xdr:col>
          <xdr:colOff>403860</xdr:colOff>
          <xdr:row>42</xdr:row>
          <xdr:rowOff>0</xdr:rowOff>
        </xdr:to>
        <xdr:sp macro="" textlink="">
          <xdr:nvSpPr>
            <xdr:cNvPr id="38943" name="Check Box 31" hidden="1">
              <a:extLst>
                <a:ext uri="{63B3BB69-23CF-44E3-9099-C40C66FF867C}">
                  <a14:compatExt spid="_x0000_s38943"/>
                </a:ext>
                <a:ext uri="{FF2B5EF4-FFF2-40B4-BE49-F238E27FC236}">
                  <a16:creationId xmlns:a16="http://schemas.microsoft.com/office/drawing/2014/main" id="{00000000-0008-0000-01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1</xdr:col>
          <xdr:colOff>2933700</xdr:colOff>
          <xdr:row>13</xdr:row>
          <xdr:rowOff>7620</xdr:rowOff>
        </xdr:to>
        <xdr:sp macro="" textlink="">
          <xdr:nvSpPr>
            <xdr:cNvPr id="38944" name="Check Box 32" hidden="1">
              <a:extLst>
                <a:ext uri="{63B3BB69-23CF-44E3-9099-C40C66FF867C}">
                  <a14:compatExt spid="_x0000_s38944"/>
                </a:ext>
                <a:ext uri="{FF2B5EF4-FFF2-40B4-BE49-F238E27FC236}">
                  <a16:creationId xmlns:a16="http://schemas.microsoft.com/office/drawing/2014/main" id="{00000000-0008-0000-0100-00000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5</xdr:col>
          <xdr:colOff>411480</xdr:colOff>
          <xdr:row>33</xdr:row>
          <xdr:rowOff>0</xdr:rowOff>
        </xdr:to>
        <xdr:sp macro="" textlink="">
          <xdr:nvSpPr>
            <xdr:cNvPr id="156673" name="Check Box 1" hidden="1">
              <a:extLst>
                <a:ext uri="{63B3BB69-23CF-44E3-9099-C40C66FF867C}">
                  <a14:compatExt spid="_x0000_s156673"/>
                </a:ext>
                <a:ext uri="{FF2B5EF4-FFF2-40B4-BE49-F238E27FC236}">
                  <a16:creationId xmlns:a16="http://schemas.microsoft.com/office/drawing/2014/main" id="{00000000-0008-0000-02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7</xdr:col>
          <xdr:colOff>7620</xdr:colOff>
          <xdr:row>34</xdr:row>
          <xdr:rowOff>160020</xdr:rowOff>
        </xdr:to>
        <xdr:sp macro="" textlink="">
          <xdr:nvSpPr>
            <xdr:cNvPr id="156674" name="Check Box 2" hidden="1">
              <a:extLst>
                <a:ext uri="{63B3BB69-23CF-44E3-9099-C40C66FF867C}">
                  <a14:compatExt spid="_x0000_s156674"/>
                </a:ext>
                <a:ext uri="{FF2B5EF4-FFF2-40B4-BE49-F238E27FC236}">
                  <a16:creationId xmlns:a16="http://schemas.microsoft.com/office/drawing/2014/main" id="{00000000-0008-0000-02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8</xdr:col>
          <xdr:colOff>68580</xdr:colOff>
          <xdr:row>33</xdr:row>
          <xdr:rowOff>0</xdr:rowOff>
        </xdr:to>
        <xdr:sp macro="" textlink="">
          <xdr:nvSpPr>
            <xdr:cNvPr id="156675" name="Check Box 3" hidden="1">
              <a:extLst>
                <a:ext uri="{63B3BB69-23CF-44E3-9099-C40C66FF867C}">
                  <a14:compatExt spid="_x0000_s156675"/>
                </a:ext>
                <a:ext uri="{FF2B5EF4-FFF2-40B4-BE49-F238E27FC236}">
                  <a16:creationId xmlns:a16="http://schemas.microsoft.com/office/drawing/2014/main" id="{00000000-0008-0000-0200-00000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30480</xdr:rowOff>
        </xdr:from>
        <xdr:to>
          <xdr:col>13</xdr:col>
          <xdr:colOff>480060</xdr:colOff>
          <xdr:row>36</xdr:row>
          <xdr:rowOff>160020</xdr:rowOff>
        </xdr:to>
        <xdr:sp macro="" textlink="">
          <xdr:nvSpPr>
            <xdr:cNvPr id="156676" name="Check Box 4" hidden="1">
              <a:extLst>
                <a:ext uri="{63B3BB69-23CF-44E3-9099-C40C66FF867C}">
                  <a14:compatExt spid="_x0000_s156676"/>
                </a:ext>
                <a:ext uri="{FF2B5EF4-FFF2-40B4-BE49-F238E27FC236}">
                  <a16:creationId xmlns:a16="http://schemas.microsoft.com/office/drawing/2014/main" id="{00000000-0008-0000-0200-00000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37</xdr:row>
          <xdr:rowOff>30480</xdr:rowOff>
        </xdr:from>
        <xdr:to>
          <xdr:col>14</xdr:col>
          <xdr:colOff>236220</xdr:colOff>
          <xdr:row>38</xdr:row>
          <xdr:rowOff>0</xdr:rowOff>
        </xdr:to>
        <xdr:sp macro="" textlink="">
          <xdr:nvSpPr>
            <xdr:cNvPr id="156677" name="Check Box 5" hidden="1">
              <a:extLst>
                <a:ext uri="{63B3BB69-23CF-44E3-9099-C40C66FF867C}">
                  <a14:compatExt spid="_x0000_s156677"/>
                </a:ext>
                <a:ext uri="{FF2B5EF4-FFF2-40B4-BE49-F238E27FC236}">
                  <a16:creationId xmlns:a16="http://schemas.microsoft.com/office/drawing/2014/main" id="{00000000-0008-0000-0200-00000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12</xdr:col>
          <xdr:colOff>2689860</xdr:colOff>
          <xdr:row>39</xdr:row>
          <xdr:rowOff>0</xdr:rowOff>
        </xdr:to>
        <xdr:sp macro="" textlink="">
          <xdr:nvSpPr>
            <xdr:cNvPr id="156678" name="Check Box 6" hidden="1">
              <a:extLst>
                <a:ext uri="{63B3BB69-23CF-44E3-9099-C40C66FF867C}">
                  <a14:compatExt spid="_x0000_s156678"/>
                </a:ext>
                <a:ext uri="{FF2B5EF4-FFF2-40B4-BE49-F238E27FC236}">
                  <a16:creationId xmlns:a16="http://schemas.microsoft.com/office/drawing/2014/main" id="{00000000-0008-0000-0200-00000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83820</xdr:rowOff>
        </xdr:to>
        <xdr:sp macro="" textlink="">
          <xdr:nvSpPr>
            <xdr:cNvPr id="156679" name="Check Box 7" hidden="1">
              <a:extLst>
                <a:ext uri="{63B3BB69-23CF-44E3-9099-C40C66FF867C}">
                  <a14:compatExt spid="_x0000_s156679"/>
                </a:ext>
                <a:ext uri="{FF2B5EF4-FFF2-40B4-BE49-F238E27FC236}">
                  <a16:creationId xmlns:a16="http://schemas.microsoft.com/office/drawing/2014/main" id="{00000000-0008-0000-0200-00000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5</xdr:col>
          <xdr:colOff>411480</xdr:colOff>
          <xdr:row>33</xdr:row>
          <xdr:rowOff>0</xdr:rowOff>
        </xdr:to>
        <xdr:sp macro="" textlink="">
          <xdr:nvSpPr>
            <xdr:cNvPr id="156680" name="Check Box 8" hidden="1">
              <a:extLst>
                <a:ext uri="{63B3BB69-23CF-44E3-9099-C40C66FF867C}">
                  <a14:compatExt spid="_x0000_s156680"/>
                </a:ext>
                <a:ext uri="{FF2B5EF4-FFF2-40B4-BE49-F238E27FC236}">
                  <a16:creationId xmlns:a16="http://schemas.microsoft.com/office/drawing/2014/main" id="{00000000-0008-0000-0200-00000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7</xdr:col>
          <xdr:colOff>7620</xdr:colOff>
          <xdr:row>34</xdr:row>
          <xdr:rowOff>160020</xdr:rowOff>
        </xdr:to>
        <xdr:sp macro="" textlink="">
          <xdr:nvSpPr>
            <xdr:cNvPr id="156681" name="Check Box 9" hidden="1">
              <a:extLst>
                <a:ext uri="{63B3BB69-23CF-44E3-9099-C40C66FF867C}">
                  <a14:compatExt spid="_x0000_s156681"/>
                </a:ext>
                <a:ext uri="{FF2B5EF4-FFF2-40B4-BE49-F238E27FC236}">
                  <a16:creationId xmlns:a16="http://schemas.microsoft.com/office/drawing/2014/main" id="{00000000-0008-0000-0200-00000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8</xdr:col>
          <xdr:colOff>68580</xdr:colOff>
          <xdr:row>33</xdr:row>
          <xdr:rowOff>0</xdr:rowOff>
        </xdr:to>
        <xdr:sp macro="" textlink="">
          <xdr:nvSpPr>
            <xdr:cNvPr id="156682" name="Check Box 10" hidden="1">
              <a:extLst>
                <a:ext uri="{63B3BB69-23CF-44E3-9099-C40C66FF867C}">
                  <a14:compatExt spid="_x0000_s156682"/>
                </a:ext>
                <a:ext uri="{FF2B5EF4-FFF2-40B4-BE49-F238E27FC236}">
                  <a16:creationId xmlns:a16="http://schemas.microsoft.com/office/drawing/2014/main" id="{00000000-0008-0000-0200-00000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12</xdr:col>
          <xdr:colOff>2689860</xdr:colOff>
          <xdr:row>39</xdr:row>
          <xdr:rowOff>0</xdr:rowOff>
        </xdr:to>
        <xdr:sp macro="" textlink="">
          <xdr:nvSpPr>
            <xdr:cNvPr id="156683" name="Check Box 11" hidden="1">
              <a:extLst>
                <a:ext uri="{63B3BB69-23CF-44E3-9099-C40C66FF867C}">
                  <a14:compatExt spid="_x0000_s156683"/>
                </a:ext>
                <a:ext uri="{FF2B5EF4-FFF2-40B4-BE49-F238E27FC236}">
                  <a16:creationId xmlns:a16="http://schemas.microsoft.com/office/drawing/2014/main" id="{00000000-0008-0000-0200-00000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83820</xdr:rowOff>
        </xdr:to>
        <xdr:sp macro="" textlink="">
          <xdr:nvSpPr>
            <xdr:cNvPr id="156684" name="Check Box 12" hidden="1">
              <a:extLst>
                <a:ext uri="{63B3BB69-23CF-44E3-9099-C40C66FF867C}">
                  <a14:compatExt spid="_x0000_s156684"/>
                </a:ext>
                <a:ext uri="{FF2B5EF4-FFF2-40B4-BE49-F238E27FC236}">
                  <a16:creationId xmlns:a16="http://schemas.microsoft.com/office/drawing/2014/main" id="{00000000-0008-0000-0200-00000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5</xdr:col>
          <xdr:colOff>411480</xdr:colOff>
          <xdr:row>33</xdr:row>
          <xdr:rowOff>0</xdr:rowOff>
        </xdr:to>
        <xdr:sp macro="" textlink="">
          <xdr:nvSpPr>
            <xdr:cNvPr id="156685" name="Check Box 13" hidden="1">
              <a:extLst>
                <a:ext uri="{63B3BB69-23CF-44E3-9099-C40C66FF867C}">
                  <a14:compatExt spid="_x0000_s156685"/>
                </a:ext>
                <a:ext uri="{FF2B5EF4-FFF2-40B4-BE49-F238E27FC236}">
                  <a16:creationId xmlns:a16="http://schemas.microsoft.com/office/drawing/2014/main" id="{00000000-0008-0000-0200-00000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7</xdr:col>
          <xdr:colOff>7620</xdr:colOff>
          <xdr:row>34</xdr:row>
          <xdr:rowOff>160020</xdr:rowOff>
        </xdr:to>
        <xdr:sp macro="" textlink="">
          <xdr:nvSpPr>
            <xdr:cNvPr id="156686" name="Check Box 14" hidden="1">
              <a:extLst>
                <a:ext uri="{63B3BB69-23CF-44E3-9099-C40C66FF867C}">
                  <a14:compatExt spid="_x0000_s156686"/>
                </a:ext>
                <a:ext uri="{FF2B5EF4-FFF2-40B4-BE49-F238E27FC236}">
                  <a16:creationId xmlns:a16="http://schemas.microsoft.com/office/drawing/2014/main" id="{00000000-0008-0000-0200-00000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8</xdr:col>
          <xdr:colOff>68580</xdr:colOff>
          <xdr:row>33</xdr:row>
          <xdr:rowOff>0</xdr:rowOff>
        </xdr:to>
        <xdr:sp macro="" textlink="">
          <xdr:nvSpPr>
            <xdr:cNvPr id="156687" name="Check Box 15" hidden="1">
              <a:extLst>
                <a:ext uri="{63B3BB69-23CF-44E3-9099-C40C66FF867C}">
                  <a14:compatExt spid="_x0000_s156687"/>
                </a:ext>
                <a:ext uri="{FF2B5EF4-FFF2-40B4-BE49-F238E27FC236}">
                  <a16:creationId xmlns:a16="http://schemas.microsoft.com/office/drawing/2014/main" id="{00000000-0008-0000-0200-00000F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30480</xdr:rowOff>
        </xdr:from>
        <xdr:to>
          <xdr:col>13</xdr:col>
          <xdr:colOff>480060</xdr:colOff>
          <xdr:row>36</xdr:row>
          <xdr:rowOff>160020</xdr:rowOff>
        </xdr:to>
        <xdr:sp macro="" textlink="">
          <xdr:nvSpPr>
            <xdr:cNvPr id="156688" name="Check Box 16" hidden="1">
              <a:extLst>
                <a:ext uri="{63B3BB69-23CF-44E3-9099-C40C66FF867C}">
                  <a14:compatExt spid="_x0000_s156688"/>
                </a:ext>
                <a:ext uri="{FF2B5EF4-FFF2-40B4-BE49-F238E27FC236}">
                  <a16:creationId xmlns:a16="http://schemas.microsoft.com/office/drawing/2014/main" id="{00000000-0008-0000-0200-00001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37</xdr:row>
          <xdr:rowOff>30480</xdr:rowOff>
        </xdr:from>
        <xdr:to>
          <xdr:col>14</xdr:col>
          <xdr:colOff>236220</xdr:colOff>
          <xdr:row>38</xdr:row>
          <xdr:rowOff>0</xdr:rowOff>
        </xdr:to>
        <xdr:sp macro="" textlink="">
          <xdr:nvSpPr>
            <xdr:cNvPr id="156689" name="Check Box 17" hidden="1">
              <a:extLst>
                <a:ext uri="{63B3BB69-23CF-44E3-9099-C40C66FF867C}">
                  <a14:compatExt spid="_x0000_s156689"/>
                </a:ext>
                <a:ext uri="{FF2B5EF4-FFF2-40B4-BE49-F238E27FC236}">
                  <a16:creationId xmlns:a16="http://schemas.microsoft.com/office/drawing/2014/main" id="{00000000-0008-0000-0200-00001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12</xdr:col>
          <xdr:colOff>2689860</xdr:colOff>
          <xdr:row>39</xdr:row>
          <xdr:rowOff>0</xdr:rowOff>
        </xdr:to>
        <xdr:sp macro="" textlink="">
          <xdr:nvSpPr>
            <xdr:cNvPr id="156690" name="Check Box 18" hidden="1">
              <a:extLst>
                <a:ext uri="{63B3BB69-23CF-44E3-9099-C40C66FF867C}">
                  <a14:compatExt spid="_x0000_s156690"/>
                </a:ext>
                <a:ext uri="{FF2B5EF4-FFF2-40B4-BE49-F238E27FC236}">
                  <a16:creationId xmlns:a16="http://schemas.microsoft.com/office/drawing/2014/main" id="{00000000-0008-0000-0200-00001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83820</xdr:rowOff>
        </xdr:to>
        <xdr:sp macro="" textlink="">
          <xdr:nvSpPr>
            <xdr:cNvPr id="156691" name="Check Box 19" hidden="1">
              <a:extLst>
                <a:ext uri="{63B3BB69-23CF-44E3-9099-C40C66FF867C}">
                  <a14:compatExt spid="_x0000_s156691"/>
                </a:ext>
                <a:ext uri="{FF2B5EF4-FFF2-40B4-BE49-F238E27FC236}">
                  <a16:creationId xmlns:a16="http://schemas.microsoft.com/office/drawing/2014/main" id="{00000000-0008-0000-0200-00001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5</xdr:col>
          <xdr:colOff>411480</xdr:colOff>
          <xdr:row>33</xdr:row>
          <xdr:rowOff>0</xdr:rowOff>
        </xdr:to>
        <xdr:sp macro="" textlink="">
          <xdr:nvSpPr>
            <xdr:cNvPr id="156692" name="Check Box 20" hidden="1">
              <a:extLst>
                <a:ext uri="{63B3BB69-23CF-44E3-9099-C40C66FF867C}">
                  <a14:compatExt spid="_x0000_s156692"/>
                </a:ext>
                <a:ext uri="{FF2B5EF4-FFF2-40B4-BE49-F238E27FC236}">
                  <a16:creationId xmlns:a16="http://schemas.microsoft.com/office/drawing/2014/main" id="{00000000-0008-0000-0200-00001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7</xdr:col>
          <xdr:colOff>7620</xdr:colOff>
          <xdr:row>34</xdr:row>
          <xdr:rowOff>160020</xdr:rowOff>
        </xdr:to>
        <xdr:sp macro="" textlink="">
          <xdr:nvSpPr>
            <xdr:cNvPr id="156693" name="Check Box 21" hidden="1">
              <a:extLst>
                <a:ext uri="{63B3BB69-23CF-44E3-9099-C40C66FF867C}">
                  <a14:compatExt spid="_x0000_s156693"/>
                </a:ext>
                <a:ext uri="{FF2B5EF4-FFF2-40B4-BE49-F238E27FC236}">
                  <a16:creationId xmlns:a16="http://schemas.microsoft.com/office/drawing/2014/main" id="{00000000-0008-0000-0200-00001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8</xdr:col>
          <xdr:colOff>68580</xdr:colOff>
          <xdr:row>33</xdr:row>
          <xdr:rowOff>0</xdr:rowOff>
        </xdr:to>
        <xdr:sp macro="" textlink="">
          <xdr:nvSpPr>
            <xdr:cNvPr id="156694" name="Check Box 22" hidden="1">
              <a:extLst>
                <a:ext uri="{63B3BB69-23CF-44E3-9099-C40C66FF867C}">
                  <a14:compatExt spid="_x0000_s156694"/>
                </a:ext>
                <a:ext uri="{FF2B5EF4-FFF2-40B4-BE49-F238E27FC236}">
                  <a16:creationId xmlns:a16="http://schemas.microsoft.com/office/drawing/2014/main" id="{00000000-0008-0000-0200-00001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12</xdr:col>
          <xdr:colOff>2689860</xdr:colOff>
          <xdr:row>39</xdr:row>
          <xdr:rowOff>0</xdr:rowOff>
        </xdr:to>
        <xdr:sp macro="" textlink="">
          <xdr:nvSpPr>
            <xdr:cNvPr id="156695" name="Check Box 23" hidden="1">
              <a:extLst>
                <a:ext uri="{63B3BB69-23CF-44E3-9099-C40C66FF867C}">
                  <a14:compatExt spid="_x0000_s156695"/>
                </a:ext>
                <a:ext uri="{FF2B5EF4-FFF2-40B4-BE49-F238E27FC236}">
                  <a16:creationId xmlns:a16="http://schemas.microsoft.com/office/drawing/2014/main" id="{00000000-0008-0000-0200-00001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83820</xdr:rowOff>
        </xdr:to>
        <xdr:sp macro="" textlink="">
          <xdr:nvSpPr>
            <xdr:cNvPr id="156696" name="Check Box 24" hidden="1">
              <a:extLst>
                <a:ext uri="{63B3BB69-23CF-44E3-9099-C40C66FF867C}">
                  <a14:compatExt spid="_x0000_s156696"/>
                </a:ext>
                <a:ext uri="{FF2B5EF4-FFF2-40B4-BE49-F238E27FC236}">
                  <a16:creationId xmlns:a16="http://schemas.microsoft.com/office/drawing/2014/main" id="{00000000-0008-0000-0200-00001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34</xdr:row>
          <xdr:rowOff>7620</xdr:rowOff>
        </xdr:from>
        <xdr:to>
          <xdr:col>7</xdr:col>
          <xdr:colOff>381000</xdr:colOff>
          <xdr:row>35</xdr:row>
          <xdr:rowOff>22860</xdr:rowOff>
        </xdr:to>
        <xdr:sp macro="" textlink="">
          <xdr:nvSpPr>
            <xdr:cNvPr id="156697" name="Check Box 25" hidden="1">
              <a:extLst>
                <a:ext uri="{63B3BB69-23CF-44E3-9099-C40C66FF867C}">
                  <a14:compatExt spid="_x0000_s156697"/>
                </a:ext>
                <a:ext uri="{FF2B5EF4-FFF2-40B4-BE49-F238E27FC236}">
                  <a16:creationId xmlns:a16="http://schemas.microsoft.com/office/drawing/2014/main" id="{00000000-0008-0000-01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Կորոնավիրուսի համավարակի հետևանքների հաղթահարում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35</xdr:row>
          <xdr:rowOff>0</xdr:rowOff>
        </xdr:from>
        <xdr:to>
          <xdr:col>5</xdr:col>
          <xdr:colOff>464820</xdr:colOff>
          <xdr:row>36</xdr:row>
          <xdr:rowOff>7620</xdr:rowOff>
        </xdr:to>
        <xdr:sp macro="" textlink="">
          <xdr:nvSpPr>
            <xdr:cNvPr id="156698" name="Check Box 26" hidden="1">
              <a:extLst>
                <a:ext uri="{63B3BB69-23CF-44E3-9099-C40C66FF867C}">
                  <a14:compatExt spid="_x0000_s156698"/>
                </a:ext>
                <a:ext uri="{FF2B5EF4-FFF2-40B4-BE49-F238E27FC236}">
                  <a16:creationId xmlns:a16="http://schemas.microsoft.com/office/drawing/2014/main" id="{00000000-0008-0000-01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37</xdr:row>
          <xdr:rowOff>0</xdr:rowOff>
        </xdr:from>
        <xdr:to>
          <xdr:col>7</xdr:col>
          <xdr:colOff>0</xdr:colOff>
          <xdr:row>37</xdr:row>
          <xdr:rowOff>160020</xdr:rowOff>
        </xdr:to>
        <xdr:sp macro="" textlink="">
          <xdr:nvSpPr>
            <xdr:cNvPr id="156699" name="Check Box 27" hidden="1">
              <a:extLst>
                <a:ext uri="{63B3BB69-23CF-44E3-9099-C40C66FF867C}">
                  <a14:compatExt spid="_x0000_s156699"/>
                </a:ext>
                <a:ext uri="{FF2B5EF4-FFF2-40B4-BE49-F238E27FC236}">
                  <a16:creationId xmlns:a16="http://schemas.microsoft.com/office/drawing/2014/main" id="{00000000-0008-0000-01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35</xdr:row>
          <xdr:rowOff>182880</xdr:rowOff>
        </xdr:from>
        <xdr:to>
          <xdr:col>8</xdr:col>
          <xdr:colOff>45720</xdr:colOff>
          <xdr:row>36</xdr:row>
          <xdr:rowOff>182880</xdr:rowOff>
        </xdr:to>
        <xdr:sp macro="" textlink="">
          <xdr:nvSpPr>
            <xdr:cNvPr id="156700" name="Check Box 28" hidden="1">
              <a:extLst>
                <a:ext uri="{63B3BB69-23CF-44E3-9099-C40C66FF867C}">
                  <a14:compatExt spid="_x0000_s156700"/>
                </a:ext>
                <a:ext uri="{FF2B5EF4-FFF2-40B4-BE49-F238E27FC236}">
                  <a16:creationId xmlns:a16="http://schemas.microsoft.com/office/drawing/2014/main" id="{00000000-0008-0000-01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39</xdr:row>
          <xdr:rowOff>30480</xdr:rowOff>
        </xdr:from>
        <xdr:to>
          <xdr:col>13</xdr:col>
          <xdr:colOff>457200</xdr:colOff>
          <xdr:row>39</xdr:row>
          <xdr:rowOff>160020</xdr:rowOff>
        </xdr:to>
        <xdr:sp macro="" textlink="">
          <xdr:nvSpPr>
            <xdr:cNvPr id="156701" name="Check Box 29" hidden="1">
              <a:extLst>
                <a:ext uri="{63B3BB69-23CF-44E3-9099-C40C66FF867C}">
                  <a14:compatExt spid="_x0000_s156701"/>
                </a:ext>
                <a:ext uri="{FF2B5EF4-FFF2-40B4-BE49-F238E27FC236}">
                  <a16:creationId xmlns:a16="http://schemas.microsoft.com/office/drawing/2014/main" id="{00000000-0008-0000-01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40</xdr:row>
          <xdr:rowOff>30480</xdr:rowOff>
        </xdr:from>
        <xdr:to>
          <xdr:col>14</xdr:col>
          <xdr:colOff>198120</xdr:colOff>
          <xdr:row>41</xdr:row>
          <xdr:rowOff>0</xdr:rowOff>
        </xdr:to>
        <xdr:sp macro="" textlink="">
          <xdr:nvSpPr>
            <xdr:cNvPr id="156702" name="Check Box 30" hidden="1">
              <a:extLst>
                <a:ext uri="{63B3BB69-23CF-44E3-9099-C40C66FF867C}">
                  <a14:compatExt spid="_x0000_s156702"/>
                </a:ext>
                <a:ext uri="{FF2B5EF4-FFF2-40B4-BE49-F238E27FC236}">
                  <a16:creationId xmlns:a16="http://schemas.microsoft.com/office/drawing/2014/main" id="{00000000-0008-0000-01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41</xdr:row>
          <xdr:rowOff>7620</xdr:rowOff>
        </xdr:from>
        <xdr:to>
          <xdr:col>12</xdr:col>
          <xdr:colOff>2674620</xdr:colOff>
          <xdr:row>42</xdr:row>
          <xdr:rowOff>7620</xdr:rowOff>
        </xdr:to>
        <xdr:sp macro="" textlink="">
          <xdr:nvSpPr>
            <xdr:cNvPr id="156703" name="Check Box 31" hidden="1">
              <a:extLst>
                <a:ext uri="{63B3BB69-23CF-44E3-9099-C40C66FF867C}">
                  <a14:compatExt spid="_x0000_s156703"/>
                </a:ext>
                <a:ext uri="{FF2B5EF4-FFF2-40B4-BE49-F238E27FC236}">
                  <a16:creationId xmlns:a16="http://schemas.microsoft.com/office/drawing/2014/main" id="{00000000-0008-0000-01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1</xdr:col>
          <xdr:colOff>2933700</xdr:colOff>
          <xdr:row>13</xdr:row>
          <xdr:rowOff>68580</xdr:rowOff>
        </xdr:to>
        <xdr:sp macro="" textlink="">
          <xdr:nvSpPr>
            <xdr:cNvPr id="156704" name="Check Box 32" hidden="1">
              <a:extLst>
                <a:ext uri="{63B3BB69-23CF-44E3-9099-C40C66FF867C}">
                  <a14:compatExt spid="_x0000_s156704"/>
                </a:ext>
                <a:ext uri="{FF2B5EF4-FFF2-40B4-BE49-F238E27FC236}">
                  <a16:creationId xmlns:a16="http://schemas.microsoft.com/office/drawing/2014/main" id="{00000000-0008-0000-0100-00000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4</xdr:col>
          <xdr:colOff>502920</xdr:colOff>
          <xdr:row>33</xdr:row>
          <xdr:rowOff>7620</xdr:rowOff>
        </xdr:to>
        <xdr:sp macro="" textlink="">
          <xdr:nvSpPr>
            <xdr:cNvPr id="39937" name="Check Box 1" hidden="1">
              <a:extLst>
                <a:ext uri="{63B3BB69-23CF-44E3-9099-C40C66FF867C}">
                  <a14:compatExt spid="_x0000_s39937"/>
                </a:ext>
                <a:ext uri="{FF2B5EF4-FFF2-40B4-BE49-F238E27FC236}">
                  <a16:creationId xmlns:a16="http://schemas.microsoft.com/office/drawing/2014/main" id="{00000000-0008-0000-02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5</xdr:col>
          <xdr:colOff>723900</xdr:colOff>
          <xdr:row>34</xdr:row>
          <xdr:rowOff>160020</xdr:rowOff>
        </xdr:to>
        <xdr:sp macro="" textlink="">
          <xdr:nvSpPr>
            <xdr:cNvPr id="39938" name="Check Box 2" hidden="1">
              <a:extLst>
                <a:ext uri="{63B3BB69-23CF-44E3-9099-C40C66FF867C}">
                  <a14:compatExt spid="_x0000_s39938"/>
                </a:ext>
                <a:ext uri="{FF2B5EF4-FFF2-40B4-BE49-F238E27FC236}">
                  <a16:creationId xmlns:a16="http://schemas.microsoft.com/office/drawing/2014/main" id="{00000000-0008-0000-02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6</xdr:col>
          <xdr:colOff>541020</xdr:colOff>
          <xdr:row>33</xdr:row>
          <xdr:rowOff>182880</xdr:rowOff>
        </xdr:to>
        <xdr:sp macro="" textlink="">
          <xdr:nvSpPr>
            <xdr:cNvPr id="39939" name="Check Box 3" hidden="1">
              <a:extLst>
                <a:ext uri="{63B3BB69-23CF-44E3-9099-C40C66FF867C}">
                  <a14:compatExt spid="_x0000_s39939"/>
                </a:ext>
                <a:ext uri="{FF2B5EF4-FFF2-40B4-BE49-F238E27FC236}">
                  <a16:creationId xmlns:a16="http://schemas.microsoft.com/office/drawing/2014/main" id="{00000000-0008-0000-0200-00000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30480</xdr:rowOff>
        </xdr:from>
        <xdr:to>
          <xdr:col>18</xdr:col>
          <xdr:colOff>518160</xdr:colOff>
          <xdr:row>36</xdr:row>
          <xdr:rowOff>160020</xdr:rowOff>
        </xdr:to>
        <xdr:sp macro="" textlink="">
          <xdr:nvSpPr>
            <xdr:cNvPr id="39940" name="Check Box 4" hidden="1">
              <a:extLst>
                <a:ext uri="{63B3BB69-23CF-44E3-9099-C40C66FF867C}">
                  <a14:compatExt spid="_x0000_s39940"/>
                </a:ext>
                <a:ext uri="{FF2B5EF4-FFF2-40B4-BE49-F238E27FC236}">
                  <a16:creationId xmlns:a16="http://schemas.microsoft.com/office/drawing/2014/main" id="{00000000-0008-0000-0200-00000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37</xdr:row>
          <xdr:rowOff>30480</xdr:rowOff>
        </xdr:from>
        <xdr:to>
          <xdr:col>19</xdr:col>
          <xdr:colOff>274320</xdr:colOff>
          <xdr:row>38</xdr:row>
          <xdr:rowOff>0</xdr:rowOff>
        </xdr:to>
        <xdr:sp macro="" textlink="">
          <xdr:nvSpPr>
            <xdr:cNvPr id="39941" name="Check Box 5" hidden="1">
              <a:extLst>
                <a:ext uri="{63B3BB69-23CF-44E3-9099-C40C66FF867C}">
                  <a14:compatExt spid="_x0000_s39941"/>
                </a:ext>
                <a:ext uri="{FF2B5EF4-FFF2-40B4-BE49-F238E27FC236}">
                  <a16:creationId xmlns:a16="http://schemas.microsoft.com/office/drawing/2014/main" id="{00000000-0008-0000-0200-00000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17</xdr:col>
          <xdr:colOff>190500</xdr:colOff>
          <xdr:row>39</xdr:row>
          <xdr:rowOff>0</xdr:rowOff>
        </xdr:to>
        <xdr:sp macro="" textlink="">
          <xdr:nvSpPr>
            <xdr:cNvPr id="39942" name="Check Box 6" hidden="1">
              <a:extLst>
                <a:ext uri="{63B3BB69-23CF-44E3-9099-C40C66FF867C}">
                  <a14:compatExt spid="_x0000_s39942"/>
                </a:ext>
                <a:ext uri="{FF2B5EF4-FFF2-40B4-BE49-F238E27FC236}">
                  <a16:creationId xmlns:a16="http://schemas.microsoft.com/office/drawing/2014/main" id="{00000000-0008-0000-0200-00000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2</xdr:col>
          <xdr:colOff>601980</xdr:colOff>
          <xdr:row>12</xdr:row>
          <xdr:rowOff>22860</xdr:rowOff>
        </xdr:to>
        <xdr:sp macro="" textlink="">
          <xdr:nvSpPr>
            <xdr:cNvPr id="39943" name="Check Box 7" hidden="1">
              <a:extLst>
                <a:ext uri="{63B3BB69-23CF-44E3-9099-C40C66FF867C}">
                  <a14:compatExt spid="_x0000_s39943"/>
                </a:ext>
                <a:ext uri="{FF2B5EF4-FFF2-40B4-BE49-F238E27FC236}">
                  <a16:creationId xmlns:a16="http://schemas.microsoft.com/office/drawing/2014/main" id="{00000000-0008-0000-0200-00000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4</xdr:col>
          <xdr:colOff>502920</xdr:colOff>
          <xdr:row>33</xdr:row>
          <xdr:rowOff>7620</xdr:rowOff>
        </xdr:to>
        <xdr:sp macro="" textlink="">
          <xdr:nvSpPr>
            <xdr:cNvPr id="39944" name="Check Box 8" hidden="1">
              <a:extLst>
                <a:ext uri="{63B3BB69-23CF-44E3-9099-C40C66FF867C}">
                  <a14:compatExt spid="_x0000_s39944"/>
                </a:ext>
                <a:ext uri="{FF2B5EF4-FFF2-40B4-BE49-F238E27FC236}">
                  <a16:creationId xmlns:a16="http://schemas.microsoft.com/office/drawing/2014/main" id="{00000000-0008-0000-0200-00000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5</xdr:col>
          <xdr:colOff>723900</xdr:colOff>
          <xdr:row>34</xdr:row>
          <xdr:rowOff>160020</xdr:rowOff>
        </xdr:to>
        <xdr:sp macro="" textlink="">
          <xdr:nvSpPr>
            <xdr:cNvPr id="39945" name="Check Box 9" hidden="1">
              <a:extLst>
                <a:ext uri="{63B3BB69-23CF-44E3-9099-C40C66FF867C}">
                  <a14:compatExt spid="_x0000_s39945"/>
                </a:ext>
                <a:ext uri="{FF2B5EF4-FFF2-40B4-BE49-F238E27FC236}">
                  <a16:creationId xmlns:a16="http://schemas.microsoft.com/office/drawing/2014/main" id="{00000000-0008-0000-0200-00000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6</xdr:col>
          <xdr:colOff>541020</xdr:colOff>
          <xdr:row>33</xdr:row>
          <xdr:rowOff>182880</xdr:rowOff>
        </xdr:to>
        <xdr:sp macro="" textlink="">
          <xdr:nvSpPr>
            <xdr:cNvPr id="39946" name="Check Box 10" hidden="1">
              <a:extLst>
                <a:ext uri="{63B3BB69-23CF-44E3-9099-C40C66FF867C}">
                  <a14:compatExt spid="_x0000_s39946"/>
                </a:ext>
                <a:ext uri="{FF2B5EF4-FFF2-40B4-BE49-F238E27FC236}">
                  <a16:creationId xmlns:a16="http://schemas.microsoft.com/office/drawing/2014/main" id="{00000000-0008-0000-0200-00000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17</xdr:col>
          <xdr:colOff>190500</xdr:colOff>
          <xdr:row>39</xdr:row>
          <xdr:rowOff>0</xdr:rowOff>
        </xdr:to>
        <xdr:sp macro="" textlink="">
          <xdr:nvSpPr>
            <xdr:cNvPr id="39947" name="Check Box 11" hidden="1">
              <a:extLst>
                <a:ext uri="{63B3BB69-23CF-44E3-9099-C40C66FF867C}">
                  <a14:compatExt spid="_x0000_s39947"/>
                </a:ext>
                <a:ext uri="{FF2B5EF4-FFF2-40B4-BE49-F238E27FC236}">
                  <a16:creationId xmlns:a16="http://schemas.microsoft.com/office/drawing/2014/main" id="{00000000-0008-0000-0200-00000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2</xdr:col>
          <xdr:colOff>601980</xdr:colOff>
          <xdr:row>12</xdr:row>
          <xdr:rowOff>22860</xdr:rowOff>
        </xdr:to>
        <xdr:sp macro="" textlink="">
          <xdr:nvSpPr>
            <xdr:cNvPr id="39948" name="Check Box 12" hidden="1">
              <a:extLst>
                <a:ext uri="{63B3BB69-23CF-44E3-9099-C40C66FF867C}">
                  <a14:compatExt spid="_x0000_s39948"/>
                </a:ext>
                <a:ext uri="{FF2B5EF4-FFF2-40B4-BE49-F238E27FC236}">
                  <a16:creationId xmlns:a16="http://schemas.microsoft.com/office/drawing/2014/main" id="{00000000-0008-0000-0200-00000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4</xdr:col>
          <xdr:colOff>502920</xdr:colOff>
          <xdr:row>33</xdr:row>
          <xdr:rowOff>7620</xdr:rowOff>
        </xdr:to>
        <xdr:sp macro="" textlink="">
          <xdr:nvSpPr>
            <xdr:cNvPr id="39949" name="Check Box 13" hidden="1">
              <a:extLst>
                <a:ext uri="{63B3BB69-23CF-44E3-9099-C40C66FF867C}">
                  <a14:compatExt spid="_x0000_s39949"/>
                </a:ext>
                <a:ext uri="{FF2B5EF4-FFF2-40B4-BE49-F238E27FC236}">
                  <a16:creationId xmlns:a16="http://schemas.microsoft.com/office/drawing/2014/main" id="{00000000-0008-0000-0200-00000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5</xdr:col>
          <xdr:colOff>723900</xdr:colOff>
          <xdr:row>34</xdr:row>
          <xdr:rowOff>160020</xdr:rowOff>
        </xdr:to>
        <xdr:sp macro="" textlink="">
          <xdr:nvSpPr>
            <xdr:cNvPr id="39950" name="Check Box 14" hidden="1">
              <a:extLst>
                <a:ext uri="{63B3BB69-23CF-44E3-9099-C40C66FF867C}">
                  <a14:compatExt spid="_x0000_s39950"/>
                </a:ext>
                <a:ext uri="{FF2B5EF4-FFF2-40B4-BE49-F238E27FC236}">
                  <a16:creationId xmlns:a16="http://schemas.microsoft.com/office/drawing/2014/main" id="{00000000-0008-0000-0200-00000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6</xdr:col>
          <xdr:colOff>541020</xdr:colOff>
          <xdr:row>33</xdr:row>
          <xdr:rowOff>182880</xdr:rowOff>
        </xdr:to>
        <xdr:sp macro="" textlink="">
          <xdr:nvSpPr>
            <xdr:cNvPr id="39951" name="Check Box 15" hidden="1">
              <a:extLst>
                <a:ext uri="{63B3BB69-23CF-44E3-9099-C40C66FF867C}">
                  <a14:compatExt spid="_x0000_s39951"/>
                </a:ext>
                <a:ext uri="{FF2B5EF4-FFF2-40B4-BE49-F238E27FC236}">
                  <a16:creationId xmlns:a16="http://schemas.microsoft.com/office/drawing/2014/main" id="{00000000-0008-0000-0200-00000F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30480</xdr:rowOff>
        </xdr:from>
        <xdr:to>
          <xdr:col>18</xdr:col>
          <xdr:colOff>518160</xdr:colOff>
          <xdr:row>36</xdr:row>
          <xdr:rowOff>160020</xdr:rowOff>
        </xdr:to>
        <xdr:sp macro="" textlink="">
          <xdr:nvSpPr>
            <xdr:cNvPr id="39952" name="Check Box 16" hidden="1">
              <a:extLst>
                <a:ext uri="{63B3BB69-23CF-44E3-9099-C40C66FF867C}">
                  <a14:compatExt spid="_x0000_s39952"/>
                </a:ext>
                <a:ext uri="{FF2B5EF4-FFF2-40B4-BE49-F238E27FC236}">
                  <a16:creationId xmlns:a16="http://schemas.microsoft.com/office/drawing/2014/main" id="{00000000-0008-0000-0200-00001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37</xdr:row>
          <xdr:rowOff>30480</xdr:rowOff>
        </xdr:from>
        <xdr:to>
          <xdr:col>19</xdr:col>
          <xdr:colOff>274320</xdr:colOff>
          <xdr:row>38</xdr:row>
          <xdr:rowOff>0</xdr:rowOff>
        </xdr:to>
        <xdr:sp macro="" textlink="">
          <xdr:nvSpPr>
            <xdr:cNvPr id="39953" name="Check Box 17" hidden="1">
              <a:extLst>
                <a:ext uri="{63B3BB69-23CF-44E3-9099-C40C66FF867C}">
                  <a14:compatExt spid="_x0000_s39953"/>
                </a:ext>
                <a:ext uri="{FF2B5EF4-FFF2-40B4-BE49-F238E27FC236}">
                  <a16:creationId xmlns:a16="http://schemas.microsoft.com/office/drawing/2014/main" id="{00000000-0008-0000-0200-00001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17</xdr:col>
          <xdr:colOff>190500</xdr:colOff>
          <xdr:row>39</xdr:row>
          <xdr:rowOff>0</xdr:rowOff>
        </xdr:to>
        <xdr:sp macro="" textlink="">
          <xdr:nvSpPr>
            <xdr:cNvPr id="39954" name="Check Box 18" hidden="1">
              <a:extLst>
                <a:ext uri="{63B3BB69-23CF-44E3-9099-C40C66FF867C}">
                  <a14:compatExt spid="_x0000_s39954"/>
                </a:ext>
                <a:ext uri="{FF2B5EF4-FFF2-40B4-BE49-F238E27FC236}">
                  <a16:creationId xmlns:a16="http://schemas.microsoft.com/office/drawing/2014/main" id="{00000000-0008-0000-0200-00001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2</xdr:col>
          <xdr:colOff>601980</xdr:colOff>
          <xdr:row>12</xdr:row>
          <xdr:rowOff>22860</xdr:rowOff>
        </xdr:to>
        <xdr:sp macro="" textlink="">
          <xdr:nvSpPr>
            <xdr:cNvPr id="39955" name="Check Box 19" hidden="1">
              <a:extLst>
                <a:ext uri="{63B3BB69-23CF-44E3-9099-C40C66FF867C}">
                  <a14:compatExt spid="_x0000_s39955"/>
                </a:ext>
                <a:ext uri="{FF2B5EF4-FFF2-40B4-BE49-F238E27FC236}">
                  <a16:creationId xmlns:a16="http://schemas.microsoft.com/office/drawing/2014/main" id="{00000000-0008-0000-0200-00001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4</xdr:col>
          <xdr:colOff>502920</xdr:colOff>
          <xdr:row>33</xdr:row>
          <xdr:rowOff>7620</xdr:rowOff>
        </xdr:to>
        <xdr:sp macro="" textlink="">
          <xdr:nvSpPr>
            <xdr:cNvPr id="39956" name="Check Box 20" hidden="1">
              <a:extLst>
                <a:ext uri="{63B3BB69-23CF-44E3-9099-C40C66FF867C}">
                  <a14:compatExt spid="_x0000_s39956"/>
                </a:ext>
                <a:ext uri="{FF2B5EF4-FFF2-40B4-BE49-F238E27FC236}">
                  <a16:creationId xmlns:a16="http://schemas.microsoft.com/office/drawing/2014/main" id="{00000000-0008-0000-0200-00001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5</xdr:col>
          <xdr:colOff>723900</xdr:colOff>
          <xdr:row>34</xdr:row>
          <xdr:rowOff>160020</xdr:rowOff>
        </xdr:to>
        <xdr:sp macro="" textlink="">
          <xdr:nvSpPr>
            <xdr:cNvPr id="39957" name="Check Box 21" hidden="1">
              <a:extLst>
                <a:ext uri="{63B3BB69-23CF-44E3-9099-C40C66FF867C}">
                  <a14:compatExt spid="_x0000_s39957"/>
                </a:ext>
                <a:ext uri="{FF2B5EF4-FFF2-40B4-BE49-F238E27FC236}">
                  <a16:creationId xmlns:a16="http://schemas.microsoft.com/office/drawing/2014/main" id="{00000000-0008-0000-0200-00001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6</xdr:col>
          <xdr:colOff>541020</xdr:colOff>
          <xdr:row>33</xdr:row>
          <xdr:rowOff>182880</xdr:rowOff>
        </xdr:to>
        <xdr:sp macro="" textlink="">
          <xdr:nvSpPr>
            <xdr:cNvPr id="39958" name="Check Box 22" hidden="1">
              <a:extLst>
                <a:ext uri="{63B3BB69-23CF-44E3-9099-C40C66FF867C}">
                  <a14:compatExt spid="_x0000_s39958"/>
                </a:ext>
                <a:ext uri="{FF2B5EF4-FFF2-40B4-BE49-F238E27FC236}">
                  <a16:creationId xmlns:a16="http://schemas.microsoft.com/office/drawing/2014/main" id="{00000000-0008-0000-0200-00001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17</xdr:col>
          <xdr:colOff>190500</xdr:colOff>
          <xdr:row>39</xdr:row>
          <xdr:rowOff>0</xdr:rowOff>
        </xdr:to>
        <xdr:sp macro="" textlink="">
          <xdr:nvSpPr>
            <xdr:cNvPr id="39959" name="Check Box 23" hidden="1">
              <a:extLst>
                <a:ext uri="{63B3BB69-23CF-44E3-9099-C40C66FF867C}">
                  <a14:compatExt spid="_x0000_s39959"/>
                </a:ext>
                <a:ext uri="{FF2B5EF4-FFF2-40B4-BE49-F238E27FC236}">
                  <a16:creationId xmlns:a16="http://schemas.microsoft.com/office/drawing/2014/main" id="{00000000-0008-0000-0200-00001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2</xdr:col>
          <xdr:colOff>601980</xdr:colOff>
          <xdr:row>12</xdr:row>
          <xdr:rowOff>22860</xdr:rowOff>
        </xdr:to>
        <xdr:sp macro="" textlink="">
          <xdr:nvSpPr>
            <xdr:cNvPr id="39960" name="Check Box 24" hidden="1">
              <a:extLst>
                <a:ext uri="{63B3BB69-23CF-44E3-9099-C40C66FF867C}">
                  <a14:compatExt spid="_x0000_s39960"/>
                </a:ext>
                <a:ext uri="{FF2B5EF4-FFF2-40B4-BE49-F238E27FC236}">
                  <a16:creationId xmlns:a16="http://schemas.microsoft.com/office/drawing/2014/main" id="{00000000-0008-0000-0200-00001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37</xdr:row>
          <xdr:rowOff>0</xdr:rowOff>
        </xdr:from>
        <xdr:to>
          <xdr:col>4</xdr:col>
          <xdr:colOff>571500</xdr:colOff>
          <xdr:row>38</xdr:row>
          <xdr:rowOff>7620</xdr:rowOff>
        </xdr:to>
        <xdr:sp macro="" textlink="">
          <xdr:nvSpPr>
            <xdr:cNvPr id="39961" name="Check Box 25" hidden="1">
              <a:extLst>
                <a:ext uri="{63B3BB69-23CF-44E3-9099-C40C66FF867C}">
                  <a14:compatExt spid="_x0000_s39961"/>
                </a:ext>
                <a:ext uri="{FF2B5EF4-FFF2-40B4-BE49-F238E27FC236}">
                  <a16:creationId xmlns:a16="http://schemas.microsoft.com/office/drawing/2014/main" id="{00000000-0008-0000-0100-00000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39</xdr:row>
          <xdr:rowOff>0</xdr:rowOff>
        </xdr:from>
        <xdr:to>
          <xdr:col>5</xdr:col>
          <xdr:colOff>723900</xdr:colOff>
          <xdr:row>39</xdr:row>
          <xdr:rowOff>160020</xdr:rowOff>
        </xdr:to>
        <xdr:sp macro="" textlink="">
          <xdr:nvSpPr>
            <xdr:cNvPr id="39962" name="Check Box 26" hidden="1">
              <a:extLst>
                <a:ext uri="{63B3BB69-23CF-44E3-9099-C40C66FF867C}">
                  <a14:compatExt spid="_x0000_s39962"/>
                </a:ext>
                <a:ext uri="{FF2B5EF4-FFF2-40B4-BE49-F238E27FC236}">
                  <a16:creationId xmlns:a16="http://schemas.microsoft.com/office/drawing/2014/main" id="{00000000-0008-0000-0100-00000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37</xdr:row>
          <xdr:rowOff>182880</xdr:rowOff>
        </xdr:from>
        <xdr:to>
          <xdr:col>6</xdr:col>
          <xdr:colOff>525780</xdr:colOff>
          <xdr:row>38</xdr:row>
          <xdr:rowOff>182880</xdr:rowOff>
        </xdr:to>
        <xdr:sp macro="" textlink="">
          <xdr:nvSpPr>
            <xdr:cNvPr id="39963" name="Check Box 27" hidden="1">
              <a:extLst>
                <a:ext uri="{63B3BB69-23CF-44E3-9099-C40C66FF867C}">
                  <a14:compatExt spid="_x0000_s39963"/>
                </a:ext>
                <a:ext uri="{FF2B5EF4-FFF2-40B4-BE49-F238E27FC236}">
                  <a16:creationId xmlns:a16="http://schemas.microsoft.com/office/drawing/2014/main" id="{00000000-0008-0000-0100-00000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41</xdr:row>
          <xdr:rowOff>30480</xdr:rowOff>
        </xdr:from>
        <xdr:to>
          <xdr:col>18</xdr:col>
          <xdr:colOff>487680</xdr:colOff>
          <xdr:row>41</xdr:row>
          <xdr:rowOff>160020</xdr:rowOff>
        </xdr:to>
        <xdr:sp macro="" textlink="">
          <xdr:nvSpPr>
            <xdr:cNvPr id="39964" name="Check Box 28" hidden="1">
              <a:extLst>
                <a:ext uri="{63B3BB69-23CF-44E3-9099-C40C66FF867C}">
                  <a14:compatExt spid="_x0000_s39964"/>
                </a:ext>
                <a:ext uri="{FF2B5EF4-FFF2-40B4-BE49-F238E27FC236}">
                  <a16:creationId xmlns:a16="http://schemas.microsoft.com/office/drawing/2014/main" id="{00000000-0008-0000-0100-00000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42</xdr:row>
          <xdr:rowOff>30480</xdr:rowOff>
        </xdr:from>
        <xdr:to>
          <xdr:col>19</xdr:col>
          <xdr:colOff>251460</xdr:colOff>
          <xdr:row>42</xdr:row>
          <xdr:rowOff>175260</xdr:rowOff>
        </xdr:to>
        <xdr:sp macro="" textlink="">
          <xdr:nvSpPr>
            <xdr:cNvPr id="39965" name="Check Box 29" hidden="1">
              <a:extLst>
                <a:ext uri="{63B3BB69-23CF-44E3-9099-C40C66FF867C}">
                  <a14:compatExt spid="_x0000_s39965"/>
                </a:ext>
                <a:ext uri="{FF2B5EF4-FFF2-40B4-BE49-F238E27FC236}">
                  <a16:creationId xmlns:a16="http://schemas.microsoft.com/office/drawing/2014/main" id="{00000000-0008-0000-0100-00000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43</xdr:row>
          <xdr:rowOff>7620</xdr:rowOff>
        </xdr:from>
        <xdr:to>
          <xdr:col>17</xdr:col>
          <xdr:colOff>182880</xdr:colOff>
          <xdr:row>43</xdr:row>
          <xdr:rowOff>182880</xdr:rowOff>
        </xdr:to>
        <xdr:sp macro="" textlink="">
          <xdr:nvSpPr>
            <xdr:cNvPr id="39966" name="Check Box 30" hidden="1">
              <a:extLst>
                <a:ext uri="{63B3BB69-23CF-44E3-9099-C40C66FF867C}">
                  <a14:compatExt spid="_x0000_s39966"/>
                </a:ext>
                <a:ext uri="{FF2B5EF4-FFF2-40B4-BE49-F238E27FC236}">
                  <a16:creationId xmlns:a16="http://schemas.microsoft.com/office/drawing/2014/main" id="{00000000-0008-0000-0100-00000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2</xdr:col>
          <xdr:colOff>670560</xdr:colOff>
          <xdr:row>12</xdr:row>
          <xdr:rowOff>22860</xdr:rowOff>
        </xdr:to>
        <xdr:sp macro="" textlink="">
          <xdr:nvSpPr>
            <xdr:cNvPr id="39967" name="Check Box 31" hidden="1">
              <a:extLst>
                <a:ext uri="{63B3BB69-23CF-44E3-9099-C40C66FF867C}">
                  <a14:compatExt spid="_x0000_s39967"/>
                </a:ext>
                <a:ext uri="{FF2B5EF4-FFF2-40B4-BE49-F238E27FC236}">
                  <a16:creationId xmlns:a16="http://schemas.microsoft.com/office/drawing/2014/main" id="{00000000-0008-0000-0100-00000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5</xdr:col>
          <xdr:colOff>723900</xdr:colOff>
          <xdr:row>33</xdr:row>
          <xdr:rowOff>0</xdr:rowOff>
        </xdr:to>
        <xdr:sp macro="" textlink="">
          <xdr:nvSpPr>
            <xdr:cNvPr id="157697" name="Check Box 1" hidden="1">
              <a:extLst>
                <a:ext uri="{63B3BB69-23CF-44E3-9099-C40C66FF867C}">
                  <a14:compatExt spid="_x0000_s157697"/>
                </a:ext>
                <a:ext uri="{FF2B5EF4-FFF2-40B4-BE49-F238E27FC236}">
                  <a16:creationId xmlns:a16="http://schemas.microsoft.com/office/drawing/2014/main" id="{00000000-0008-0000-02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7</xdr:col>
          <xdr:colOff>556260</xdr:colOff>
          <xdr:row>34</xdr:row>
          <xdr:rowOff>160020</xdr:rowOff>
        </xdr:to>
        <xdr:sp macro="" textlink="">
          <xdr:nvSpPr>
            <xdr:cNvPr id="157698" name="Check Box 2" hidden="1">
              <a:extLst>
                <a:ext uri="{63B3BB69-23CF-44E3-9099-C40C66FF867C}">
                  <a14:compatExt spid="_x0000_s157698"/>
                </a:ext>
                <a:ext uri="{FF2B5EF4-FFF2-40B4-BE49-F238E27FC236}">
                  <a16:creationId xmlns:a16="http://schemas.microsoft.com/office/drawing/2014/main" id="{00000000-0008-0000-02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8</xdr:col>
          <xdr:colOff>723900</xdr:colOff>
          <xdr:row>33</xdr:row>
          <xdr:rowOff>121920</xdr:rowOff>
        </xdr:to>
        <xdr:sp macro="" textlink="">
          <xdr:nvSpPr>
            <xdr:cNvPr id="157699" name="Check Box 3" hidden="1">
              <a:extLst>
                <a:ext uri="{63B3BB69-23CF-44E3-9099-C40C66FF867C}">
                  <a14:compatExt spid="_x0000_s157699"/>
                </a:ext>
                <a:ext uri="{FF2B5EF4-FFF2-40B4-BE49-F238E27FC236}">
                  <a16:creationId xmlns:a16="http://schemas.microsoft.com/office/drawing/2014/main" id="{00000000-0008-0000-0200-00000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30480</xdr:rowOff>
        </xdr:from>
        <xdr:to>
          <xdr:col>15</xdr:col>
          <xdr:colOff>457200</xdr:colOff>
          <xdr:row>36</xdr:row>
          <xdr:rowOff>160020</xdr:rowOff>
        </xdr:to>
        <xdr:sp macro="" textlink="">
          <xdr:nvSpPr>
            <xdr:cNvPr id="157700" name="Check Box 4" hidden="1">
              <a:extLst>
                <a:ext uri="{63B3BB69-23CF-44E3-9099-C40C66FF867C}">
                  <a14:compatExt spid="_x0000_s157700"/>
                </a:ext>
                <a:ext uri="{FF2B5EF4-FFF2-40B4-BE49-F238E27FC236}">
                  <a16:creationId xmlns:a16="http://schemas.microsoft.com/office/drawing/2014/main" id="{00000000-0008-0000-0200-00000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37</xdr:row>
          <xdr:rowOff>30480</xdr:rowOff>
        </xdr:from>
        <xdr:to>
          <xdr:col>16</xdr:col>
          <xdr:colOff>220980</xdr:colOff>
          <xdr:row>38</xdr:row>
          <xdr:rowOff>0</xdr:rowOff>
        </xdr:to>
        <xdr:sp macro="" textlink="">
          <xdr:nvSpPr>
            <xdr:cNvPr id="157701" name="Check Box 5" hidden="1">
              <a:extLst>
                <a:ext uri="{63B3BB69-23CF-44E3-9099-C40C66FF867C}">
                  <a14:compatExt spid="_x0000_s157701"/>
                </a:ext>
                <a:ext uri="{FF2B5EF4-FFF2-40B4-BE49-F238E27FC236}">
                  <a16:creationId xmlns:a16="http://schemas.microsoft.com/office/drawing/2014/main" id="{00000000-0008-0000-0200-00000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14</xdr:col>
          <xdr:colOff>137160</xdr:colOff>
          <xdr:row>39</xdr:row>
          <xdr:rowOff>0</xdr:rowOff>
        </xdr:to>
        <xdr:sp macro="" textlink="">
          <xdr:nvSpPr>
            <xdr:cNvPr id="157702" name="Check Box 6" hidden="1">
              <a:extLst>
                <a:ext uri="{63B3BB69-23CF-44E3-9099-C40C66FF867C}">
                  <a14:compatExt spid="_x0000_s157702"/>
                </a:ext>
                <a:ext uri="{FF2B5EF4-FFF2-40B4-BE49-F238E27FC236}">
                  <a16:creationId xmlns:a16="http://schemas.microsoft.com/office/drawing/2014/main" id="{00000000-0008-0000-0200-00000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11</xdr:row>
          <xdr:rowOff>251460</xdr:rowOff>
        </xdr:to>
        <xdr:sp macro="" textlink="">
          <xdr:nvSpPr>
            <xdr:cNvPr id="157703" name="Check Box 7" hidden="1">
              <a:extLst>
                <a:ext uri="{63B3BB69-23CF-44E3-9099-C40C66FF867C}">
                  <a14:compatExt spid="_x0000_s157703"/>
                </a:ext>
                <a:ext uri="{FF2B5EF4-FFF2-40B4-BE49-F238E27FC236}">
                  <a16:creationId xmlns:a16="http://schemas.microsoft.com/office/drawing/2014/main" id="{00000000-0008-0000-0200-00000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5</xdr:col>
          <xdr:colOff>723900</xdr:colOff>
          <xdr:row>33</xdr:row>
          <xdr:rowOff>0</xdr:rowOff>
        </xdr:to>
        <xdr:sp macro="" textlink="">
          <xdr:nvSpPr>
            <xdr:cNvPr id="157704" name="Check Box 8" hidden="1">
              <a:extLst>
                <a:ext uri="{63B3BB69-23CF-44E3-9099-C40C66FF867C}">
                  <a14:compatExt spid="_x0000_s157704"/>
                </a:ext>
                <a:ext uri="{FF2B5EF4-FFF2-40B4-BE49-F238E27FC236}">
                  <a16:creationId xmlns:a16="http://schemas.microsoft.com/office/drawing/2014/main" id="{00000000-0008-0000-0200-00000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7</xdr:col>
          <xdr:colOff>556260</xdr:colOff>
          <xdr:row>34</xdr:row>
          <xdr:rowOff>160020</xdr:rowOff>
        </xdr:to>
        <xdr:sp macro="" textlink="">
          <xdr:nvSpPr>
            <xdr:cNvPr id="157705" name="Check Box 9" hidden="1">
              <a:extLst>
                <a:ext uri="{63B3BB69-23CF-44E3-9099-C40C66FF867C}">
                  <a14:compatExt spid="_x0000_s157705"/>
                </a:ext>
                <a:ext uri="{FF2B5EF4-FFF2-40B4-BE49-F238E27FC236}">
                  <a16:creationId xmlns:a16="http://schemas.microsoft.com/office/drawing/2014/main" id="{00000000-0008-0000-0200-00000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8</xdr:col>
          <xdr:colOff>723900</xdr:colOff>
          <xdr:row>33</xdr:row>
          <xdr:rowOff>121920</xdr:rowOff>
        </xdr:to>
        <xdr:sp macro="" textlink="">
          <xdr:nvSpPr>
            <xdr:cNvPr id="157706" name="Check Box 10" hidden="1">
              <a:extLst>
                <a:ext uri="{63B3BB69-23CF-44E3-9099-C40C66FF867C}">
                  <a14:compatExt spid="_x0000_s157706"/>
                </a:ext>
                <a:ext uri="{FF2B5EF4-FFF2-40B4-BE49-F238E27FC236}">
                  <a16:creationId xmlns:a16="http://schemas.microsoft.com/office/drawing/2014/main" id="{00000000-0008-0000-0200-00000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14</xdr:col>
          <xdr:colOff>137160</xdr:colOff>
          <xdr:row>39</xdr:row>
          <xdr:rowOff>0</xdr:rowOff>
        </xdr:to>
        <xdr:sp macro="" textlink="">
          <xdr:nvSpPr>
            <xdr:cNvPr id="157707" name="Check Box 11" hidden="1">
              <a:extLst>
                <a:ext uri="{63B3BB69-23CF-44E3-9099-C40C66FF867C}">
                  <a14:compatExt spid="_x0000_s157707"/>
                </a:ext>
                <a:ext uri="{FF2B5EF4-FFF2-40B4-BE49-F238E27FC236}">
                  <a16:creationId xmlns:a16="http://schemas.microsoft.com/office/drawing/2014/main" id="{00000000-0008-0000-0200-00000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11</xdr:row>
          <xdr:rowOff>251460</xdr:rowOff>
        </xdr:to>
        <xdr:sp macro="" textlink="">
          <xdr:nvSpPr>
            <xdr:cNvPr id="157708" name="Check Box 12" hidden="1">
              <a:extLst>
                <a:ext uri="{63B3BB69-23CF-44E3-9099-C40C66FF867C}">
                  <a14:compatExt spid="_x0000_s157708"/>
                </a:ext>
                <a:ext uri="{FF2B5EF4-FFF2-40B4-BE49-F238E27FC236}">
                  <a16:creationId xmlns:a16="http://schemas.microsoft.com/office/drawing/2014/main" id="{00000000-0008-0000-0200-00000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5</xdr:col>
          <xdr:colOff>723900</xdr:colOff>
          <xdr:row>33</xdr:row>
          <xdr:rowOff>0</xdr:rowOff>
        </xdr:to>
        <xdr:sp macro="" textlink="">
          <xdr:nvSpPr>
            <xdr:cNvPr id="157709" name="Check Box 13" hidden="1">
              <a:extLst>
                <a:ext uri="{63B3BB69-23CF-44E3-9099-C40C66FF867C}">
                  <a14:compatExt spid="_x0000_s157709"/>
                </a:ext>
                <a:ext uri="{FF2B5EF4-FFF2-40B4-BE49-F238E27FC236}">
                  <a16:creationId xmlns:a16="http://schemas.microsoft.com/office/drawing/2014/main" id="{00000000-0008-0000-0200-00000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7</xdr:col>
          <xdr:colOff>556260</xdr:colOff>
          <xdr:row>34</xdr:row>
          <xdr:rowOff>160020</xdr:rowOff>
        </xdr:to>
        <xdr:sp macro="" textlink="">
          <xdr:nvSpPr>
            <xdr:cNvPr id="157710" name="Check Box 14" hidden="1">
              <a:extLst>
                <a:ext uri="{63B3BB69-23CF-44E3-9099-C40C66FF867C}">
                  <a14:compatExt spid="_x0000_s157710"/>
                </a:ext>
                <a:ext uri="{FF2B5EF4-FFF2-40B4-BE49-F238E27FC236}">
                  <a16:creationId xmlns:a16="http://schemas.microsoft.com/office/drawing/2014/main" id="{00000000-0008-0000-0200-00000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8</xdr:col>
          <xdr:colOff>723900</xdr:colOff>
          <xdr:row>33</xdr:row>
          <xdr:rowOff>121920</xdr:rowOff>
        </xdr:to>
        <xdr:sp macro="" textlink="">
          <xdr:nvSpPr>
            <xdr:cNvPr id="157711" name="Check Box 15" hidden="1">
              <a:extLst>
                <a:ext uri="{63B3BB69-23CF-44E3-9099-C40C66FF867C}">
                  <a14:compatExt spid="_x0000_s157711"/>
                </a:ext>
                <a:ext uri="{FF2B5EF4-FFF2-40B4-BE49-F238E27FC236}">
                  <a16:creationId xmlns:a16="http://schemas.microsoft.com/office/drawing/2014/main" id="{00000000-0008-0000-0200-00000F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30480</xdr:rowOff>
        </xdr:from>
        <xdr:to>
          <xdr:col>15</xdr:col>
          <xdr:colOff>457200</xdr:colOff>
          <xdr:row>36</xdr:row>
          <xdr:rowOff>160020</xdr:rowOff>
        </xdr:to>
        <xdr:sp macro="" textlink="">
          <xdr:nvSpPr>
            <xdr:cNvPr id="157712" name="Check Box 16" hidden="1">
              <a:extLst>
                <a:ext uri="{63B3BB69-23CF-44E3-9099-C40C66FF867C}">
                  <a14:compatExt spid="_x0000_s157712"/>
                </a:ext>
                <a:ext uri="{FF2B5EF4-FFF2-40B4-BE49-F238E27FC236}">
                  <a16:creationId xmlns:a16="http://schemas.microsoft.com/office/drawing/2014/main" id="{00000000-0008-0000-0200-00001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37</xdr:row>
          <xdr:rowOff>30480</xdr:rowOff>
        </xdr:from>
        <xdr:to>
          <xdr:col>16</xdr:col>
          <xdr:colOff>220980</xdr:colOff>
          <xdr:row>38</xdr:row>
          <xdr:rowOff>0</xdr:rowOff>
        </xdr:to>
        <xdr:sp macro="" textlink="">
          <xdr:nvSpPr>
            <xdr:cNvPr id="157713" name="Check Box 17" hidden="1">
              <a:extLst>
                <a:ext uri="{63B3BB69-23CF-44E3-9099-C40C66FF867C}">
                  <a14:compatExt spid="_x0000_s157713"/>
                </a:ext>
                <a:ext uri="{FF2B5EF4-FFF2-40B4-BE49-F238E27FC236}">
                  <a16:creationId xmlns:a16="http://schemas.microsoft.com/office/drawing/2014/main" id="{00000000-0008-0000-0200-00001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14</xdr:col>
          <xdr:colOff>137160</xdr:colOff>
          <xdr:row>39</xdr:row>
          <xdr:rowOff>0</xdr:rowOff>
        </xdr:to>
        <xdr:sp macro="" textlink="">
          <xdr:nvSpPr>
            <xdr:cNvPr id="157714" name="Check Box 18" hidden="1">
              <a:extLst>
                <a:ext uri="{63B3BB69-23CF-44E3-9099-C40C66FF867C}">
                  <a14:compatExt spid="_x0000_s157714"/>
                </a:ext>
                <a:ext uri="{FF2B5EF4-FFF2-40B4-BE49-F238E27FC236}">
                  <a16:creationId xmlns:a16="http://schemas.microsoft.com/office/drawing/2014/main" id="{00000000-0008-0000-0200-00001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11</xdr:row>
          <xdr:rowOff>251460</xdr:rowOff>
        </xdr:to>
        <xdr:sp macro="" textlink="">
          <xdr:nvSpPr>
            <xdr:cNvPr id="157715" name="Check Box 19" hidden="1">
              <a:extLst>
                <a:ext uri="{63B3BB69-23CF-44E3-9099-C40C66FF867C}">
                  <a14:compatExt spid="_x0000_s157715"/>
                </a:ext>
                <a:ext uri="{FF2B5EF4-FFF2-40B4-BE49-F238E27FC236}">
                  <a16:creationId xmlns:a16="http://schemas.microsoft.com/office/drawing/2014/main" id="{00000000-0008-0000-0200-00001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0</xdr:rowOff>
        </xdr:from>
        <xdr:to>
          <xdr:col>5</xdr:col>
          <xdr:colOff>723900</xdr:colOff>
          <xdr:row>33</xdr:row>
          <xdr:rowOff>0</xdr:rowOff>
        </xdr:to>
        <xdr:sp macro="" textlink="">
          <xdr:nvSpPr>
            <xdr:cNvPr id="157716" name="Check Box 20" hidden="1">
              <a:extLst>
                <a:ext uri="{63B3BB69-23CF-44E3-9099-C40C66FF867C}">
                  <a14:compatExt spid="_x0000_s157716"/>
                </a:ext>
                <a:ext uri="{FF2B5EF4-FFF2-40B4-BE49-F238E27FC236}">
                  <a16:creationId xmlns:a16="http://schemas.microsoft.com/office/drawing/2014/main" id="{00000000-0008-0000-0200-00001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34</xdr:row>
          <xdr:rowOff>0</xdr:rowOff>
        </xdr:from>
        <xdr:to>
          <xdr:col>7</xdr:col>
          <xdr:colOff>556260</xdr:colOff>
          <xdr:row>34</xdr:row>
          <xdr:rowOff>160020</xdr:rowOff>
        </xdr:to>
        <xdr:sp macro="" textlink="">
          <xdr:nvSpPr>
            <xdr:cNvPr id="157717" name="Check Box 21" hidden="1">
              <a:extLst>
                <a:ext uri="{63B3BB69-23CF-44E3-9099-C40C66FF867C}">
                  <a14:compatExt spid="_x0000_s157717"/>
                </a:ext>
                <a:ext uri="{FF2B5EF4-FFF2-40B4-BE49-F238E27FC236}">
                  <a16:creationId xmlns:a16="http://schemas.microsoft.com/office/drawing/2014/main" id="{00000000-0008-0000-0200-00001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32</xdr:row>
          <xdr:rowOff>182880</xdr:rowOff>
        </xdr:from>
        <xdr:to>
          <xdr:col>8</xdr:col>
          <xdr:colOff>723900</xdr:colOff>
          <xdr:row>33</xdr:row>
          <xdr:rowOff>121920</xdr:rowOff>
        </xdr:to>
        <xdr:sp macro="" textlink="">
          <xdr:nvSpPr>
            <xdr:cNvPr id="157718" name="Check Box 22" hidden="1">
              <a:extLst>
                <a:ext uri="{63B3BB69-23CF-44E3-9099-C40C66FF867C}">
                  <a14:compatExt spid="_x0000_s157718"/>
                </a:ext>
                <a:ext uri="{FF2B5EF4-FFF2-40B4-BE49-F238E27FC236}">
                  <a16:creationId xmlns:a16="http://schemas.microsoft.com/office/drawing/2014/main" id="{00000000-0008-0000-0200-00001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7620</xdr:rowOff>
        </xdr:from>
        <xdr:to>
          <xdr:col>14</xdr:col>
          <xdr:colOff>137160</xdr:colOff>
          <xdr:row>39</xdr:row>
          <xdr:rowOff>0</xdr:rowOff>
        </xdr:to>
        <xdr:sp macro="" textlink="">
          <xdr:nvSpPr>
            <xdr:cNvPr id="157719" name="Check Box 23" hidden="1">
              <a:extLst>
                <a:ext uri="{63B3BB69-23CF-44E3-9099-C40C66FF867C}">
                  <a14:compatExt spid="_x0000_s157719"/>
                </a:ext>
                <a:ext uri="{FF2B5EF4-FFF2-40B4-BE49-F238E27FC236}">
                  <a16:creationId xmlns:a16="http://schemas.microsoft.com/office/drawing/2014/main" id="{00000000-0008-0000-0200-00001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11</xdr:row>
          <xdr:rowOff>251460</xdr:rowOff>
        </xdr:to>
        <xdr:sp macro="" textlink="">
          <xdr:nvSpPr>
            <xdr:cNvPr id="157720" name="Check Box 24" hidden="1">
              <a:extLst>
                <a:ext uri="{63B3BB69-23CF-44E3-9099-C40C66FF867C}">
                  <a14:compatExt spid="_x0000_s157720"/>
                </a:ext>
                <a:ext uri="{FF2B5EF4-FFF2-40B4-BE49-F238E27FC236}">
                  <a16:creationId xmlns:a16="http://schemas.microsoft.com/office/drawing/2014/main" id="{00000000-0008-0000-0200-00001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37</xdr:row>
          <xdr:rowOff>0</xdr:rowOff>
        </xdr:from>
        <xdr:to>
          <xdr:col>6</xdr:col>
          <xdr:colOff>0</xdr:colOff>
          <xdr:row>38</xdr:row>
          <xdr:rowOff>0</xdr:rowOff>
        </xdr:to>
        <xdr:sp macro="" textlink="">
          <xdr:nvSpPr>
            <xdr:cNvPr id="157721" name="Check Box 25" hidden="1">
              <a:extLst>
                <a:ext uri="{63B3BB69-23CF-44E3-9099-C40C66FF867C}">
                  <a14:compatExt spid="_x0000_s157721"/>
                </a:ext>
                <a:ext uri="{FF2B5EF4-FFF2-40B4-BE49-F238E27FC236}">
                  <a16:creationId xmlns:a16="http://schemas.microsoft.com/office/drawing/2014/main" id="{00000000-0008-0000-0100-00000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39</xdr:row>
          <xdr:rowOff>0</xdr:rowOff>
        </xdr:from>
        <xdr:to>
          <xdr:col>7</xdr:col>
          <xdr:colOff>556260</xdr:colOff>
          <xdr:row>39</xdr:row>
          <xdr:rowOff>160020</xdr:rowOff>
        </xdr:to>
        <xdr:sp macro="" textlink="">
          <xdr:nvSpPr>
            <xdr:cNvPr id="157722" name="Check Box 26" hidden="1">
              <a:extLst>
                <a:ext uri="{63B3BB69-23CF-44E3-9099-C40C66FF867C}">
                  <a14:compatExt spid="_x0000_s157722"/>
                </a:ext>
                <a:ext uri="{FF2B5EF4-FFF2-40B4-BE49-F238E27FC236}">
                  <a16:creationId xmlns:a16="http://schemas.microsoft.com/office/drawing/2014/main" id="{00000000-0008-0000-0100-00000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37</xdr:row>
          <xdr:rowOff>182880</xdr:rowOff>
        </xdr:from>
        <xdr:to>
          <xdr:col>8</xdr:col>
          <xdr:colOff>708660</xdr:colOff>
          <xdr:row>38</xdr:row>
          <xdr:rowOff>137160</xdr:rowOff>
        </xdr:to>
        <xdr:sp macro="" textlink="">
          <xdr:nvSpPr>
            <xdr:cNvPr id="157723" name="Check Box 27" hidden="1">
              <a:extLst>
                <a:ext uri="{63B3BB69-23CF-44E3-9099-C40C66FF867C}">
                  <a14:compatExt spid="_x0000_s157723"/>
                </a:ext>
                <a:ext uri="{FF2B5EF4-FFF2-40B4-BE49-F238E27FC236}">
                  <a16:creationId xmlns:a16="http://schemas.microsoft.com/office/drawing/2014/main" id="{00000000-0008-0000-0100-00000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41</xdr:row>
          <xdr:rowOff>30480</xdr:rowOff>
        </xdr:from>
        <xdr:to>
          <xdr:col>15</xdr:col>
          <xdr:colOff>441960</xdr:colOff>
          <xdr:row>41</xdr:row>
          <xdr:rowOff>160020</xdr:rowOff>
        </xdr:to>
        <xdr:sp macro="" textlink="">
          <xdr:nvSpPr>
            <xdr:cNvPr id="157724" name="Check Box 28" hidden="1">
              <a:extLst>
                <a:ext uri="{63B3BB69-23CF-44E3-9099-C40C66FF867C}">
                  <a14:compatExt spid="_x0000_s157724"/>
                </a:ext>
                <a:ext uri="{FF2B5EF4-FFF2-40B4-BE49-F238E27FC236}">
                  <a16:creationId xmlns:a16="http://schemas.microsoft.com/office/drawing/2014/main" id="{00000000-0008-0000-0100-00000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42</xdr:row>
          <xdr:rowOff>30480</xdr:rowOff>
        </xdr:from>
        <xdr:to>
          <xdr:col>16</xdr:col>
          <xdr:colOff>198120</xdr:colOff>
          <xdr:row>42</xdr:row>
          <xdr:rowOff>175260</xdr:rowOff>
        </xdr:to>
        <xdr:sp macro="" textlink="">
          <xdr:nvSpPr>
            <xdr:cNvPr id="157725" name="Check Box 29" hidden="1">
              <a:extLst>
                <a:ext uri="{63B3BB69-23CF-44E3-9099-C40C66FF867C}">
                  <a14:compatExt spid="_x0000_s157725"/>
                </a:ext>
                <a:ext uri="{FF2B5EF4-FFF2-40B4-BE49-F238E27FC236}">
                  <a16:creationId xmlns:a16="http://schemas.microsoft.com/office/drawing/2014/main" id="{00000000-0008-0000-0100-00000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43</xdr:row>
          <xdr:rowOff>7620</xdr:rowOff>
        </xdr:from>
        <xdr:to>
          <xdr:col>14</xdr:col>
          <xdr:colOff>137160</xdr:colOff>
          <xdr:row>43</xdr:row>
          <xdr:rowOff>182880</xdr:rowOff>
        </xdr:to>
        <xdr:sp macro="" textlink="">
          <xdr:nvSpPr>
            <xdr:cNvPr id="157726" name="Check Box 30" hidden="1">
              <a:extLst>
                <a:ext uri="{63B3BB69-23CF-44E3-9099-C40C66FF867C}">
                  <a14:compatExt spid="_x0000_s157726"/>
                </a:ext>
                <a:ext uri="{FF2B5EF4-FFF2-40B4-BE49-F238E27FC236}">
                  <a16:creationId xmlns:a16="http://schemas.microsoft.com/office/drawing/2014/main" id="{00000000-0008-0000-0100-00000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3002280</xdr:colOff>
          <xdr:row>11</xdr:row>
          <xdr:rowOff>251460</xdr:rowOff>
        </xdr:to>
        <xdr:sp macro="" textlink="">
          <xdr:nvSpPr>
            <xdr:cNvPr id="157727" name="Check Box 31" hidden="1">
              <a:extLst>
                <a:ext uri="{63B3BB69-23CF-44E3-9099-C40C66FF867C}">
                  <a14:compatExt spid="_x0000_s157727"/>
                </a:ext>
                <a:ext uri="{FF2B5EF4-FFF2-40B4-BE49-F238E27FC236}">
                  <a16:creationId xmlns:a16="http://schemas.microsoft.com/office/drawing/2014/main" id="{00000000-0008-0000-0100-00000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120\gnumner\Users\Atom\Desktop\N_2323_&#1350;\4.&#1344;&#1377;&#1406;&#1381;&#1388;&#1406;&#1377;&#1390;%20N%204.&#1336;&#1405;&#1407;%20&#1396;&#1387;&#1403;&#1400;&#1409;&#1377;&#1404;&#1400;&#1410;&#1396;&#1398;&#1381;&#1408;&#1387;_&#1359;&#1398;&#1407;&#1381;&#1405;&#1377;&#1379;&#1387;&#1407;&#1377;&#1391;&#1377;&#139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92.168.10.120\gnumner\Users\user\AppData\Local\Temp\Rar$DIa9136.39954\Seva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ntesagitakan"/>
      <sheetName val="Tntesagitakan (2)"/>
    </sheetNames>
    <sheetDataSet>
      <sheetData sheetId="0" refreshError="1"/>
      <sheetData sheetId="1" refreshError="1">
        <row r="8">
          <cell r="A8" t="str">
            <v xml:space="preserve"> 1016</v>
          </cell>
        </row>
        <row r="9">
          <cell r="C9" t="str">
            <v xml:space="preserve"> այդ թվում`</v>
          </cell>
        </row>
        <row r="19">
          <cell r="B19" t="str">
            <v xml:space="preserve"> 11004</v>
          </cell>
        </row>
        <row r="28">
          <cell r="B28" t="str">
            <v xml:space="preserve"> 32003</v>
          </cell>
        </row>
        <row r="37">
          <cell r="A37" t="str">
            <v xml:space="preserve"> 1071</v>
          </cell>
        </row>
        <row r="39">
          <cell r="B39" t="str">
            <v xml:space="preserve"> 11001</v>
          </cell>
        </row>
        <row r="78">
          <cell r="B78" t="str">
            <v xml:space="preserve"> 11002</v>
          </cell>
        </row>
        <row r="109">
          <cell r="B109" t="str">
            <v xml:space="preserve"> 31001</v>
          </cell>
        </row>
        <row r="127">
          <cell r="A127" t="str">
            <v xml:space="preserve"> 1133</v>
          </cell>
        </row>
        <row r="129">
          <cell r="B129" t="str">
            <v xml:space="preserve"> 12001</v>
          </cell>
        </row>
        <row r="138">
          <cell r="A138" t="str">
            <v xml:space="preserve"> 1155</v>
          </cell>
        </row>
        <row r="148">
          <cell r="B148" t="str">
            <v xml:space="preserve"> 11003</v>
          </cell>
        </row>
        <row r="156">
          <cell r="B156" t="str">
            <v xml:space="preserve"> 11004</v>
          </cell>
        </row>
        <row r="165">
          <cell r="B165" t="str">
            <v xml:space="preserve"> 11005</v>
          </cell>
        </row>
        <row r="174">
          <cell r="B174" t="str">
            <v xml:space="preserve"> 11006</v>
          </cell>
        </row>
        <row r="183">
          <cell r="B183" t="str">
            <v xml:space="preserve"> 11007</v>
          </cell>
        </row>
        <row r="201">
          <cell r="B201" t="str">
            <v xml:space="preserve"> 11010</v>
          </cell>
        </row>
        <row r="210">
          <cell r="B210" t="str">
            <v xml:space="preserve"> 11012</v>
          </cell>
        </row>
        <row r="227">
          <cell r="B227" t="str">
            <v xml:space="preserve"> 12004</v>
          </cell>
        </row>
        <row r="236">
          <cell r="A236" t="str">
            <v xml:space="preserve"> 1173</v>
          </cell>
        </row>
        <row r="272">
          <cell r="B272" t="str">
            <v xml:space="preserve"> 11002</v>
          </cell>
        </row>
        <row r="281">
          <cell r="B281" t="str">
            <v xml:space="preserve"> 11003</v>
          </cell>
        </row>
        <row r="290">
          <cell r="B290" t="str">
            <v xml:space="preserve"> 11004</v>
          </cell>
        </row>
        <row r="310">
          <cell r="B310" t="str">
            <v xml:space="preserve"> 32001</v>
          </cell>
        </row>
        <row r="319">
          <cell r="A319" t="str">
            <v xml:space="preserve"> 1186</v>
          </cell>
        </row>
        <row r="321">
          <cell r="B321" t="str">
            <v xml:space="preserve"> 11001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2.Sevan"/>
    </sheetNames>
    <sheetDataSet>
      <sheetData sheetId="0" refreshError="1">
        <row r="8">
          <cell r="D8" t="str">
            <v xml:space="preserve"> «Սևանի լճի ավազանում հողային ռեսուրսների և արժեքավոր էկոհամակարգերի պահպանում և կայուն կառավարում՝ ուղղված բազմակի օգուտների »</v>
          </cell>
        </row>
        <row r="9">
          <cell r="D9" t="str">
            <v>այդ թվում` ըստ կատարողների</v>
          </cell>
        </row>
        <row r="10">
          <cell r="D10" t="str">
            <v>ՀՀ  շրջակա միջավայրի նախարարություն</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80.xml"/><Relationship Id="rId13" Type="http://schemas.openxmlformats.org/officeDocument/2006/relationships/ctrlProp" Target="../ctrlProps/ctrlProp185.xml"/><Relationship Id="rId18" Type="http://schemas.openxmlformats.org/officeDocument/2006/relationships/ctrlProp" Target="../ctrlProps/ctrlProp190.xml"/><Relationship Id="rId26" Type="http://schemas.openxmlformats.org/officeDocument/2006/relationships/ctrlProp" Target="../ctrlProps/ctrlProp198.xml"/><Relationship Id="rId3" Type="http://schemas.openxmlformats.org/officeDocument/2006/relationships/vmlDrawing" Target="../drawings/vmlDrawing5.vml"/><Relationship Id="rId21" Type="http://schemas.openxmlformats.org/officeDocument/2006/relationships/ctrlProp" Target="../ctrlProps/ctrlProp193.xml"/><Relationship Id="rId34" Type="http://schemas.openxmlformats.org/officeDocument/2006/relationships/ctrlProp" Target="../ctrlProps/ctrlProp206.xml"/><Relationship Id="rId7" Type="http://schemas.openxmlformats.org/officeDocument/2006/relationships/ctrlProp" Target="../ctrlProps/ctrlProp179.xml"/><Relationship Id="rId12" Type="http://schemas.openxmlformats.org/officeDocument/2006/relationships/ctrlProp" Target="../ctrlProps/ctrlProp184.xml"/><Relationship Id="rId17" Type="http://schemas.openxmlformats.org/officeDocument/2006/relationships/ctrlProp" Target="../ctrlProps/ctrlProp189.xml"/><Relationship Id="rId25" Type="http://schemas.openxmlformats.org/officeDocument/2006/relationships/ctrlProp" Target="../ctrlProps/ctrlProp197.xml"/><Relationship Id="rId33" Type="http://schemas.openxmlformats.org/officeDocument/2006/relationships/ctrlProp" Target="../ctrlProps/ctrlProp205.xml"/><Relationship Id="rId2" Type="http://schemas.openxmlformats.org/officeDocument/2006/relationships/drawing" Target="../drawings/drawing5.xml"/><Relationship Id="rId16" Type="http://schemas.openxmlformats.org/officeDocument/2006/relationships/ctrlProp" Target="../ctrlProps/ctrlProp188.xml"/><Relationship Id="rId20" Type="http://schemas.openxmlformats.org/officeDocument/2006/relationships/ctrlProp" Target="../ctrlProps/ctrlProp192.xml"/><Relationship Id="rId29" Type="http://schemas.openxmlformats.org/officeDocument/2006/relationships/ctrlProp" Target="../ctrlProps/ctrlProp201.xml"/><Relationship Id="rId1" Type="http://schemas.openxmlformats.org/officeDocument/2006/relationships/printerSettings" Target="../printerSettings/printerSettings11.bin"/><Relationship Id="rId6" Type="http://schemas.openxmlformats.org/officeDocument/2006/relationships/ctrlProp" Target="../ctrlProps/ctrlProp178.xml"/><Relationship Id="rId11" Type="http://schemas.openxmlformats.org/officeDocument/2006/relationships/ctrlProp" Target="../ctrlProps/ctrlProp183.xml"/><Relationship Id="rId24" Type="http://schemas.openxmlformats.org/officeDocument/2006/relationships/ctrlProp" Target="../ctrlProps/ctrlProp196.xml"/><Relationship Id="rId32" Type="http://schemas.openxmlformats.org/officeDocument/2006/relationships/ctrlProp" Target="../ctrlProps/ctrlProp204.xml"/><Relationship Id="rId5" Type="http://schemas.openxmlformats.org/officeDocument/2006/relationships/ctrlProp" Target="../ctrlProps/ctrlProp177.xml"/><Relationship Id="rId15" Type="http://schemas.openxmlformats.org/officeDocument/2006/relationships/ctrlProp" Target="../ctrlProps/ctrlProp187.xml"/><Relationship Id="rId23" Type="http://schemas.openxmlformats.org/officeDocument/2006/relationships/ctrlProp" Target="../ctrlProps/ctrlProp195.xml"/><Relationship Id="rId28" Type="http://schemas.openxmlformats.org/officeDocument/2006/relationships/ctrlProp" Target="../ctrlProps/ctrlProp200.xml"/><Relationship Id="rId10" Type="http://schemas.openxmlformats.org/officeDocument/2006/relationships/ctrlProp" Target="../ctrlProps/ctrlProp182.xml"/><Relationship Id="rId19" Type="http://schemas.openxmlformats.org/officeDocument/2006/relationships/ctrlProp" Target="../ctrlProps/ctrlProp191.xml"/><Relationship Id="rId31" Type="http://schemas.openxmlformats.org/officeDocument/2006/relationships/ctrlProp" Target="../ctrlProps/ctrlProp203.xml"/><Relationship Id="rId4" Type="http://schemas.openxmlformats.org/officeDocument/2006/relationships/ctrlProp" Target="../ctrlProps/ctrlProp176.xml"/><Relationship Id="rId9" Type="http://schemas.openxmlformats.org/officeDocument/2006/relationships/ctrlProp" Target="../ctrlProps/ctrlProp181.xml"/><Relationship Id="rId14" Type="http://schemas.openxmlformats.org/officeDocument/2006/relationships/ctrlProp" Target="../ctrlProps/ctrlProp186.xml"/><Relationship Id="rId22" Type="http://schemas.openxmlformats.org/officeDocument/2006/relationships/ctrlProp" Target="../ctrlProps/ctrlProp194.xml"/><Relationship Id="rId27" Type="http://schemas.openxmlformats.org/officeDocument/2006/relationships/ctrlProp" Target="../ctrlProps/ctrlProp199.xml"/><Relationship Id="rId30" Type="http://schemas.openxmlformats.org/officeDocument/2006/relationships/ctrlProp" Target="../ctrlProps/ctrlProp202.xml"/><Relationship Id="rId35" Type="http://schemas.openxmlformats.org/officeDocument/2006/relationships/ctrlProp" Target="../ctrlProps/ctrlProp207.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212.xml"/><Relationship Id="rId13" Type="http://schemas.openxmlformats.org/officeDocument/2006/relationships/ctrlProp" Target="../ctrlProps/ctrlProp217.xml"/><Relationship Id="rId18" Type="http://schemas.openxmlformats.org/officeDocument/2006/relationships/ctrlProp" Target="../ctrlProps/ctrlProp222.xml"/><Relationship Id="rId26" Type="http://schemas.openxmlformats.org/officeDocument/2006/relationships/ctrlProp" Target="../ctrlProps/ctrlProp230.xml"/><Relationship Id="rId3" Type="http://schemas.openxmlformats.org/officeDocument/2006/relationships/vmlDrawing" Target="../drawings/vmlDrawing6.vml"/><Relationship Id="rId21" Type="http://schemas.openxmlformats.org/officeDocument/2006/relationships/ctrlProp" Target="../ctrlProps/ctrlProp225.xml"/><Relationship Id="rId34" Type="http://schemas.openxmlformats.org/officeDocument/2006/relationships/ctrlProp" Target="../ctrlProps/ctrlProp238.xml"/><Relationship Id="rId7" Type="http://schemas.openxmlformats.org/officeDocument/2006/relationships/ctrlProp" Target="../ctrlProps/ctrlProp211.xml"/><Relationship Id="rId12" Type="http://schemas.openxmlformats.org/officeDocument/2006/relationships/ctrlProp" Target="../ctrlProps/ctrlProp216.xml"/><Relationship Id="rId17" Type="http://schemas.openxmlformats.org/officeDocument/2006/relationships/ctrlProp" Target="../ctrlProps/ctrlProp221.xml"/><Relationship Id="rId25" Type="http://schemas.openxmlformats.org/officeDocument/2006/relationships/ctrlProp" Target="../ctrlProps/ctrlProp229.xml"/><Relationship Id="rId33" Type="http://schemas.openxmlformats.org/officeDocument/2006/relationships/ctrlProp" Target="../ctrlProps/ctrlProp237.xml"/><Relationship Id="rId2" Type="http://schemas.openxmlformats.org/officeDocument/2006/relationships/drawing" Target="../drawings/drawing6.xml"/><Relationship Id="rId16" Type="http://schemas.openxmlformats.org/officeDocument/2006/relationships/ctrlProp" Target="../ctrlProps/ctrlProp220.xml"/><Relationship Id="rId20" Type="http://schemas.openxmlformats.org/officeDocument/2006/relationships/ctrlProp" Target="../ctrlProps/ctrlProp224.xml"/><Relationship Id="rId29" Type="http://schemas.openxmlformats.org/officeDocument/2006/relationships/ctrlProp" Target="../ctrlProps/ctrlProp233.xml"/><Relationship Id="rId1" Type="http://schemas.openxmlformats.org/officeDocument/2006/relationships/printerSettings" Target="../printerSettings/printerSettings13.bin"/><Relationship Id="rId6" Type="http://schemas.openxmlformats.org/officeDocument/2006/relationships/ctrlProp" Target="../ctrlProps/ctrlProp210.xml"/><Relationship Id="rId11" Type="http://schemas.openxmlformats.org/officeDocument/2006/relationships/ctrlProp" Target="../ctrlProps/ctrlProp215.xml"/><Relationship Id="rId24" Type="http://schemas.openxmlformats.org/officeDocument/2006/relationships/ctrlProp" Target="../ctrlProps/ctrlProp228.xml"/><Relationship Id="rId32" Type="http://schemas.openxmlformats.org/officeDocument/2006/relationships/ctrlProp" Target="../ctrlProps/ctrlProp236.xml"/><Relationship Id="rId5" Type="http://schemas.openxmlformats.org/officeDocument/2006/relationships/ctrlProp" Target="../ctrlProps/ctrlProp209.xml"/><Relationship Id="rId15" Type="http://schemas.openxmlformats.org/officeDocument/2006/relationships/ctrlProp" Target="../ctrlProps/ctrlProp219.xml"/><Relationship Id="rId23" Type="http://schemas.openxmlformats.org/officeDocument/2006/relationships/ctrlProp" Target="../ctrlProps/ctrlProp227.xml"/><Relationship Id="rId28" Type="http://schemas.openxmlformats.org/officeDocument/2006/relationships/ctrlProp" Target="../ctrlProps/ctrlProp232.xml"/><Relationship Id="rId10" Type="http://schemas.openxmlformats.org/officeDocument/2006/relationships/ctrlProp" Target="../ctrlProps/ctrlProp214.xml"/><Relationship Id="rId19" Type="http://schemas.openxmlformats.org/officeDocument/2006/relationships/ctrlProp" Target="../ctrlProps/ctrlProp223.xml"/><Relationship Id="rId31" Type="http://schemas.openxmlformats.org/officeDocument/2006/relationships/ctrlProp" Target="../ctrlProps/ctrlProp235.xml"/><Relationship Id="rId4" Type="http://schemas.openxmlformats.org/officeDocument/2006/relationships/ctrlProp" Target="../ctrlProps/ctrlProp208.xml"/><Relationship Id="rId9" Type="http://schemas.openxmlformats.org/officeDocument/2006/relationships/ctrlProp" Target="../ctrlProps/ctrlProp213.xml"/><Relationship Id="rId14" Type="http://schemas.openxmlformats.org/officeDocument/2006/relationships/ctrlProp" Target="../ctrlProps/ctrlProp218.xml"/><Relationship Id="rId22" Type="http://schemas.openxmlformats.org/officeDocument/2006/relationships/ctrlProp" Target="../ctrlProps/ctrlProp226.xml"/><Relationship Id="rId27" Type="http://schemas.openxmlformats.org/officeDocument/2006/relationships/ctrlProp" Target="../ctrlProps/ctrlProp231.xml"/><Relationship Id="rId30" Type="http://schemas.openxmlformats.org/officeDocument/2006/relationships/ctrlProp" Target="../ctrlProps/ctrlProp234.xml"/><Relationship Id="rId35" Type="http://schemas.openxmlformats.org/officeDocument/2006/relationships/ctrlProp" Target="../ctrlProps/ctrlProp239.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243.xml"/><Relationship Id="rId13" Type="http://schemas.openxmlformats.org/officeDocument/2006/relationships/ctrlProp" Target="../ctrlProps/ctrlProp248.xml"/><Relationship Id="rId18" Type="http://schemas.openxmlformats.org/officeDocument/2006/relationships/ctrlProp" Target="../ctrlProps/ctrlProp253.xml"/><Relationship Id="rId26" Type="http://schemas.openxmlformats.org/officeDocument/2006/relationships/ctrlProp" Target="../ctrlProps/ctrlProp261.xml"/><Relationship Id="rId3" Type="http://schemas.openxmlformats.org/officeDocument/2006/relationships/drawing" Target="../drawings/drawing7.xml"/><Relationship Id="rId21" Type="http://schemas.openxmlformats.org/officeDocument/2006/relationships/ctrlProp" Target="../ctrlProps/ctrlProp256.xml"/><Relationship Id="rId34" Type="http://schemas.openxmlformats.org/officeDocument/2006/relationships/ctrlProp" Target="../ctrlProps/ctrlProp269.xml"/><Relationship Id="rId7" Type="http://schemas.openxmlformats.org/officeDocument/2006/relationships/ctrlProp" Target="../ctrlProps/ctrlProp242.xml"/><Relationship Id="rId12" Type="http://schemas.openxmlformats.org/officeDocument/2006/relationships/ctrlProp" Target="../ctrlProps/ctrlProp247.xml"/><Relationship Id="rId17" Type="http://schemas.openxmlformats.org/officeDocument/2006/relationships/ctrlProp" Target="../ctrlProps/ctrlProp252.xml"/><Relationship Id="rId25" Type="http://schemas.openxmlformats.org/officeDocument/2006/relationships/ctrlProp" Target="../ctrlProps/ctrlProp260.xml"/><Relationship Id="rId33" Type="http://schemas.openxmlformats.org/officeDocument/2006/relationships/ctrlProp" Target="../ctrlProps/ctrlProp268.xml"/><Relationship Id="rId2" Type="http://schemas.openxmlformats.org/officeDocument/2006/relationships/printerSettings" Target="../printerSettings/printerSettings14.bin"/><Relationship Id="rId16" Type="http://schemas.openxmlformats.org/officeDocument/2006/relationships/ctrlProp" Target="../ctrlProps/ctrlProp251.xml"/><Relationship Id="rId20" Type="http://schemas.openxmlformats.org/officeDocument/2006/relationships/ctrlProp" Target="../ctrlProps/ctrlProp255.xml"/><Relationship Id="rId29" Type="http://schemas.openxmlformats.org/officeDocument/2006/relationships/ctrlProp" Target="../ctrlProps/ctrlProp264.xml"/><Relationship Id="rId1" Type="http://schemas.openxmlformats.org/officeDocument/2006/relationships/hyperlink" Target="https://gidrometpribors.ru/catalog/prochee-oborudovanie/vs-43-snegomer-vesovoy/" TargetMode="External"/><Relationship Id="rId6" Type="http://schemas.openxmlformats.org/officeDocument/2006/relationships/ctrlProp" Target="../ctrlProps/ctrlProp241.xml"/><Relationship Id="rId11" Type="http://schemas.openxmlformats.org/officeDocument/2006/relationships/ctrlProp" Target="../ctrlProps/ctrlProp246.xml"/><Relationship Id="rId24" Type="http://schemas.openxmlformats.org/officeDocument/2006/relationships/ctrlProp" Target="../ctrlProps/ctrlProp259.xml"/><Relationship Id="rId32" Type="http://schemas.openxmlformats.org/officeDocument/2006/relationships/ctrlProp" Target="../ctrlProps/ctrlProp267.xml"/><Relationship Id="rId5" Type="http://schemas.openxmlformats.org/officeDocument/2006/relationships/ctrlProp" Target="../ctrlProps/ctrlProp240.xml"/><Relationship Id="rId15" Type="http://schemas.openxmlformats.org/officeDocument/2006/relationships/ctrlProp" Target="../ctrlProps/ctrlProp250.xml"/><Relationship Id="rId23" Type="http://schemas.openxmlformats.org/officeDocument/2006/relationships/ctrlProp" Target="../ctrlProps/ctrlProp258.xml"/><Relationship Id="rId28" Type="http://schemas.openxmlformats.org/officeDocument/2006/relationships/ctrlProp" Target="../ctrlProps/ctrlProp263.xml"/><Relationship Id="rId36" Type="http://schemas.openxmlformats.org/officeDocument/2006/relationships/ctrlProp" Target="../ctrlProps/ctrlProp271.xml"/><Relationship Id="rId10" Type="http://schemas.openxmlformats.org/officeDocument/2006/relationships/ctrlProp" Target="../ctrlProps/ctrlProp245.xml"/><Relationship Id="rId19" Type="http://schemas.openxmlformats.org/officeDocument/2006/relationships/ctrlProp" Target="../ctrlProps/ctrlProp254.xml"/><Relationship Id="rId31" Type="http://schemas.openxmlformats.org/officeDocument/2006/relationships/ctrlProp" Target="../ctrlProps/ctrlProp266.xml"/><Relationship Id="rId4" Type="http://schemas.openxmlformats.org/officeDocument/2006/relationships/vmlDrawing" Target="../drawings/vmlDrawing7.vml"/><Relationship Id="rId9" Type="http://schemas.openxmlformats.org/officeDocument/2006/relationships/ctrlProp" Target="../ctrlProps/ctrlProp244.xml"/><Relationship Id="rId14" Type="http://schemas.openxmlformats.org/officeDocument/2006/relationships/ctrlProp" Target="../ctrlProps/ctrlProp249.xml"/><Relationship Id="rId22" Type="http://schemas.openxmlformats.org/officeDocument/2006/relationships/ctrlProp" Target="../ctrlProps/ctrlProp257.xml"/><Relationship Id="rId27" Type="http://schemas.openxmlformats.org/officeDocument/2006/relationships/ctrlProp" Target="../ctrlProps/ctrlProp262.xml"/><Relationship Id="rId30" Type="http://schemas.openxmlformats.org/officeDocument/2006/relationships/ctrlProp" Target="../ctrlProps/ctrlProp265.xml"/><Relationship Id="rId35" Type="http://schemas.openxmlformats.org/officeDocument/2006/relationships/ctrlProp" Target="../ctrlProps/ctrlProp270.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276.xml"/><Relationship Id="rId13" Type="http://schemas.openxmlformats.org/officeDocument/2006/relationships/ctrlProp" Target="../ctrlProps/ctrlProp281.xml"/><Relationship Id="rId18" Type="http://schemas.openxmlformats.org/officeDocument/2006/relationships/ctrlProp" Target="../ctrlProps/ctrlProp286.xml"/><Relationship Id="rId26" Type="http://schemas.openxmlformats.org/officeDocument/2006/relationships/ctrlProp" Target="../ctrlProps/ctrlProp294.xml"/><Relationship Id="rId3" Type="http://schemas.openxmlformats.org/officeDocument/2006/relationships/vmlDrawing" Target="../drawings/vmlDrawing8.vml"/><Relationship Id="rId21" Type="http://schemas.openxmlformats.org/officeDocument/2006/relationships/ctrlProp" Target="../ctrlProps/ctrlProp289.xml"/><Relationship Id="rId34" Type="http://schemas.openxmlformats.org/officeDocument/2006/relationships/ctrlProp" Target="../ctrlProps/ctrlProp302.xml"/><Relationship Id="rId7" Type="http://schemas.openxmlformats.org/officeDocument/2006/relationships/ctrlProp" Target="../ctrlProps/ctrlProp275.xml"/><Relationship Id="rId12" Type="http://schemas.openxmlformats.org/officeDocument/2006/relationships/ctrlProp" Target="../ctrlProps/ctrlProp280.xml"/><Relationship Id="rId17" Type="http://schemas.openxmlformats.org/officeDocument/2006/relationships/ctrlProp" Target="../ctrlProps/ctrlProp285.xml"/><Relationship Id="rId25" Type="http://schemas.openxmlformats.org/officeDocument/2006/relationships/ctrlProp" Target="../ctrlProps/ctrlProp293.xml"/><Relationship Id="rId33" Type="http://schemas.openxmlformats.org/officeDocument/2006/relationships/ctrlProp" Target="../ctrlProps/ctrlProp301.xml"/><Relationship Id="rId2" Type="http://schemas.openxmlformats.org/officeDocument/2006/relationships/drawing" Target="../drawings/drawing8.xml"/><Relationship Id="rId16" Type="http://schemas.openxmlformats.org/officeDocument/2006/relationships/ctrlProp" Target="../ctrlProps/ctrlProp284.xml"/><Relationship Id="rId20" Type="http://schemas.openxmlformats.org/officeDocument/2006/relationships/ctrlProp" Target="../ctrlProps/ctrlProp288.xml"/><Relationship Id="rId29" Type="http://schemas.openxmlformats.org/officeDocument/2006/relationships/ctrlProp" Target="../ctrlProps/ctrlProp297.xml"/><Relationship Id="rId1" Type="http://schemas.openxmlformats.org/officeDocument/2006/relationships/printerSettings" Target="../printerSettings/printerSettings16.bin"/><Relationship Id="rId6" Type="http://schemas.openxmlformats.org/officeDocument/2006/relationships/ctrlProp" Target="../ctrlProps/ctrlProp274.xml"/><Relationship Id="rId11" Type="http://schemas.openxmlformats.org/officeDocument/2006/relationships/ctrlProp" Target="../ctrlProps/ctrlProp279.xml"/><Relationship Id="rId24" Type="http://schemas.openxmlformats.org/officeDocument/2006/relationships/ctrlProp" Target="../ctrlProps/ctrlProp292.xml"/><Relationship Id="rId32" Type="http://schemas.openxmlformats.org/officeDocument/2006/relationships/ctrlProp" Target="../ctrlProps/ctrlProp300.xml"/><Relationship Id="rId5" Type="http://schemas.openxmlformats.org/officeDocument/2006/relationships/ctrlProp" Target="../ctrlProps/ctrlProp273.xml"/><Relationship Id="rId15" Type="http://schemas.openxmlformats.org/officeDocument/2006/relationships/ctrlProp" Target="../ctrlProps/ctrlProp283.xml"/><Relationship Id="rId23" Type="http://schemas.openxmlformats.org/officeDocument/2006/relationships/ctrlProp" Target="../ctrlProps/ctrlProp291.xml"/><Relationship Id="rId28" Type="http://schemas.openxmlformats.org/officeDocument/2006/relationships/ctrlProp" Target="../ctrlProps/ctrlProp296.xml"/><Relationship Id="rId10" Type="http://schemas.openxmlformats.org/officeDocument/2006/relationships/ctrlProp" Target="../ctrlProps/ctrlProp278.xml"/><Relationship Id="rId19" Type="http://schemas.openxmlformats.org/officeDocument/2006/relationships/ctrlProp" Target="../ctrlProps/ctrlProp287.xml"/><Relationship Id="rId31" Type="http://schemas.openxmlformats.org/officeDocument/2006/relationships/ctrlProp" Target="../ctrlProps/ctrlProp299.xml"/><Relationship Id="rId4" Type="http://schemas.openxmlformats.org/officeDocument/2006/relationships/ctrlProp" Target="../ctrlProps/ctrlProp272.xml"/><Relationship Id="rId9" Type="http://schemas.openxmlformats.org/officeDocument/2006/relationships/ctrlProp" Target="../ctrlProps/ctrlProp277.xml"/><Relationship Id="rId14" Type="http://schemas.openxmlformats.org/officeDocument/2006/relationships/ctrlProp" Target="../ctrlProps/ctrlProp282.xml"/><Relationship Id="rId22" Type="http://schemas.openxmlformats.org/officeDocument/2006/relationships/ctrlProp" Target="../ctrlProps/ctrlProp290.xml"/><Relationship Id="rId27" Type="http://schemas.openxmlformats.org/officeDocument/2006/relationships/ctrlProp" Target="../ctrlProps/ctrlProp295.xml"/><Relationship Id="rId30" Type="http://schemas.openxmlformats.org/officeDocument/2006/relationships/ctrlProp" Target="../ctrlProps/ctrlProp298.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307.xml"/><Relationship Id="rId13" Type="http://schemas.openxmlformats.org/officeDocument/2006/relationships/ctrlProp" Target="../ctrlProps/ctrlProp312.xml"/><Relationship Id="rId18" Type="http://schemas.openxmlformats.org/officeDocument/2006/relationships/ctrlProp" Target="../ctrlProps/ctrlProp317.xml"/><Relationship Id="rId26" Type="http://schemas.openxmlformats.org/officeDocument/2006/relationships/ctrlProp" Target="../ctrlProps/ctrlProp325.xml"/><Relationship Id="rId3" Type="http://schemas.openxmlformats.org/officeDocument/2006/relationships/vmlDrawing" Target="../drawings/vmlDrawing9.vml"/><Relationship Id="rId21" Type="http://schemas.openxmlformats.org/officeDocument/2006/relationships/ctrlProp" Target="../ctrlProps/ctrlProp320.xml"/><Relationship Id="rId34" Type="http://schemas.openxmlformats.org/officeDocument/2006/relationships/ctrlProp" Target="../ctrlProps/ctrlProp333.xml"/><Relationship Id="rId7" Type="http://schemas.openxmlformats.org/officeDocument/2006/relationships/ctrlProp" Target="../ctrlProps/ctrlProp306.xml"/><Relationship Id="rId12" Type="http://schemas.openxmlformats.org/officeDocument/2006/relationships/ctrlProp" Target="../ctrlProps/ctrlProp311.xml"/><Relationship Id="rId17" Type="http://schemas.openxmlformats.org/officeDocument/2006/relationships/ctrlProp" Target="../ctrlProps/ctrlProp316.xml"/><Relationship Id="rId25" Type="http://schemas.openxmlformats.org/officeDocument/2006/relationships/ctrlProp" Target="../ctrlProps/ctrlProp324.xml"/><Relationship Id="rId33" Type="http://schemas.openxmlformats.org/officeDocument/2006/relationships/ctrlProp" Target="../ctrlProps/ctrlProp332.xml"/><Relationship Id="rId2" Type="http://schemas.openxmlformats.org/officeDocument/2006/relationships/drawing" Target="../drawings/drawing9.xml"/><Relationship Id="rId16" Type="http://schemas.openxmlformats.org/officeDocument/2006/relationships/ctrlProp" Target="../ctrlProps/ctrlProp315.xml"/><Relationship Id="rId20" Type="http://schemas.openxmlformats.org/officeDocument/2006/relationships/ctrlProp" Target="../ctrlProps/ctrlProp319.xml"/><Relationship Id="rId29" Type="http://schemas.openxmlformats.org/officeDocument/2006/relationships/ctrlProp" Target="../ctrlProps/ctrlProp328.xml"/><Relationship Id="rId1" Type="http://schemas.openxmlformats.org/officeDocument/2006/relationships/printerSettings" Target="../printerSettings/printerSettings17.bin"/><Relationship Id="rId6" Type="http://schemas.openxmlformats.org/officeDocument/2006/relationships/ctrlProp" Target="../ctrlProps/ctrlProp305.xml"/><Relationship Id="rId11" Type="http://schemas.openxmlformats.org/officeDocument/2006/relationships/ctrlProp" Target="../ctrlProps/ctrlProp310.xml"/><Relationship Id="rId24" Type="http://schemas.openxmlformats.org/officeDocument/2006/relationships/ctrlProp" Target="../ctrlProps/ctrlProp323.xml"/><Relationship Id="rId32" Type="http://schemas.openxmlformats.org/officeDocument/2006/relationships/ctrlProp" Target="../ctrlProps/ctrlProp331.xml"/><Relationship Id="rId5" Type="http://schemas.openxmlformats.org/officeDocument/2006/relationships/ctrlProp" Target="../ctrlProps/ctrlProp304.xml"/><Relationship Id="rId15" Type="http://schemas.openxmlformats.org/officeDocument/2006/relationships/ctrlProp" Target="../ctrlProps/ctrlProp314.xml"/><Relationship Id="rId23" Type="http://schemas.openxmlformats.org/officeDocument/2006/relationships/ctrlProp" Target="../ctrlProps/ctrlProp322.xml"/><Relationship Id="rId28" Type="http://schemas.openxmlformats.org/officeDocument/2006/relationships/ctrlProp" Target="../ctrlProps/ctrlProp327.xml"/><Relationship Id="rId10" Type="http://schemas.openxmlformats.org/officeDocument/2006/relationships/ctrlProp" Target="../ctrlProps/ctrlProp309.xml"/><Relationship Id="rId19" Type="http://schemas.openxmlformats.org/officeDocument/2006/relationships/ctrlProp" Target="../ctrlProps/ctrlProp318.xml"/><Relationship Id="rId31" Type="http://schemas.openxmlformats.org/officeDocument/2006/relationships/ctrlProp" Target="../ctrlProps/ctrlProp330.xml"/><Relationship Id="rId4" Type="http://schemas.openxmlformats.org/officeDocument/2006/relationships/ctrlProp" Target="../ctrlProps/ctrlProp303.xml"/><Relationship Id="rId9" Type="http://schemas.openxmlformats.org/officeDocument/2006/relationships/ctrlProp" Target="../ctrlProps/ctrlProp308.xml"/><Relationship Id="rId14" Type="http://schemas.openxmlformats.org/officeDocument/2006/relationships/ctrlProp" Target="../ctrlProps/ctrlProp313.xml"/><Relationship Id="rId22" Type="http://schemas.openxmlformats.org/officeDocument/2006/relationships/ctrlProp" Target="../ctrlProps/ctrlProp321.xml"/><Relationship Id="rId27" Type="http://schemas.openxmlformats.org/officeDocument/2006/relationships/ctrlProp" Target="../ctrlProps/ctrlProp326.xml"/><Relationship Id="rId30" Type="http://schemas.openxmlformats.org/officeDocument/2006/relationships/ctrlProp" Target="../ctrlProps/ctrlProp329.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338.xml"/><Relationship Id="rId13" Type="http://schemas.openxmlformats.org/officeDocument/2006/relationships/ctrlProp" Target="../ctrlProps/ctrlProp343.xml"/><Relationship Id="rId18" Type="http://schemas.openxmlformats.org/officeDocument/2006/relationships/ctrlProp" Target="../ctrlProps/ctrlProp348.xml"/><Relationship Id="rId26" Type="http://schemas.openxmlformats.org/officeDocument/2006/relationships/ctrlProp" Target="../ctrlProps/ctrlProp356.xml"/><Relationship Id="rId3" Type="http://schemas.openxmlformats.org/officeDocument/2006/relationships/vmlDrawing" Target="../drawings/vmlDrawing10.vml"/><Relationship Id="rId21" Type="http://schemas.openxmlformats.org/officeDocument/2006/relationships/ctrlProp" Target="../ctrlProps/ctrlProp351.xml"/><Relationship Id="rId34" Type="http://schemas.openxmlformats.org/officeDocument/2006/relationships/ctrlProp" Target="../ctrlProps/ctrlProp364.xml"/><Relationship Id="rId7" Type="http://schemas.openxmlformats.org/officeDocument/2006/relationships/ctrlProp" Target="../ctrlProps/ctrlProp337.xml"/><Relationship Id="rId12" Type="http://schemas.openxmlformats.org/officeDocument/2006/relationships/ctrlProp" Target="../ctrlProps/ctrlProp342.xml"/><Relationship Id="rId17" Type="http://schemas.openxmlformats.org/officeDocument/2006/relationships/ctrlProp" Target="../ctrlProps/ctrlProp347.xml"/><Relationship Id="rId25" Type="http://schemas.openxmlformats.org/officeDocument/2006/relationships/ctrlProp" Target="../ctrlProps/ctrlProp355.xml"/><Relationship Id="rId33" Type="http://schemas.openxmlformats.org/officeDocument/2006/relationships/ctrlProp" Target="../ctrlProps/ctrlProp363.xml"/><Relationship Id="rId2" Type="http://schemas.openxmlformats.org/officeDocument/2006/relationships/drawing" Target="../drawings/drawing10.xml"/><Relationship Id="rId16" Type="http://schemas.openxmlformats.org/officeDocument/2006/relationships/ctrlProp" Target="../ctrlProps/ctrlProp346.xml"/><Relationship Id="rId20" Type="http://schemas.openxmlformats.org/officeDocument/2006/relationships/ctrlProp" Target="../ctrlProps/ctrlProp350.xml"/><Relationship Id="rId29" Type="http://schemas.openxmlformats.org/officeDocument/2006/relationships/ctrlProp" Target="../ctrlProps/ctrlProp359.xml"/><Relationship Id="rId1" Type="http://schemas.openxmlformats.org/officeDocument/2006/relationships/printerSettings" Target="../printerSettings/printerSettings19.bin"/><Relationship Id="rId6" Type="http://schemas.openxmlformats.org/officeDocument/2006/relationships/ctrlProp" Target="../ctrlProps/ctrlProp336.xml"/><Relationship Id="rId11" Type="http://schemas.openxmlformats.org/officeDocument/2006/relationships/ctrlProp" Target="../ctrlProps/ctrlProp341.xml"/><Relationship Id="rId24" Type="http://schemas.openxmlformats.org/officeDocument/2006/relationships/ctrlProp" Target="../ctrlProps/ctrlProp354.xml"/><Relationship Id="rId32" Type="http://schemas.openxmlformats.org/officeDocument/2006/relationships/ctrlProp" Target="../ctrlProps/ctrlProp362.xml"/><Relationship Id="rId5" Type="http://schemas.openxmlformats.org/officeDocument/2006/relationships/ctrlProp" Target="../ctrlProps/ctrlProp335.xml"/><Relationship Id="rId15" Type="http://schemas.openxmlformats.org/officeDocument/2006/relationships/ctrlProp" Target="../ctrlProps/ctrlProp345.xml"/><Relationship Id="rId23" Type="http://schemas.openxmlformats.org/officeDocument/2006/relationships/ctrlProp" Target="../ctrlProps/ctrlProp353.xml"/><Relationship Id="rId28" Type="http://schemas.openxmlformats.org/officeDocument/2006/relationships/ctrlProp" Target="../ctrlProps/ctrlProp358.xml"/><Relationship Id="rId10" Type="http://schemas.openxmlformats.org/officeDocument/2006/relationships/ctrlProp" Target="../ctrlProps/ctrlProp340.xml"/><Relationship Id="rId19" Type="http://schemas.openxmlformats.org/officeDocument/2006/relationships/ctrlProp" Target="../ctrlProps/ctrlProp349.xml"/><Relationship Id="rId31" Type="http://schemas.openxmlformats.org/officeDocument/2006/relationships/ctrlProp" Target="../ctrlProps/ctrlProp361.xml"/><Relationship Id="rId4" Type="http://schemas.openxmlformats.org/officeDocument/2006/relationships/ctrlProp" Target="../ctrlProps/ctrlProp334.xml"/><Relationship Id="rId9" Type="http://schemas.openxmlformats.org/officeDocument/2006/relationships/ctrlProp" Target="../ctrlProps/ctrlProp339.xml"/><Relationship Id="rId14" Type="http://schemas.openxmlformats.org/officeDocument/2006/relationships/ctrlProp" Target="../ctrlProps/ctrlProp344.xml"/><Relationship Id="rId22" Type="http://schemas.openxmlformats.org/officeDocument/2006/relationships/ctrlProp" Target="../ctrlProps/ctrlProp352.xml"/><Relationship Id="rId27" Type="http://schemas.openxmlformats.org/officeDocument/2006/relationships/ctrlProp" Target="../ctrlProps/ctrlProp357.xml"/><Relationship Id="rId30" Type="http://schemas.openxmlformats.org/officeDocument/2006/relationships/ctrlProp" Target="../ctrlProps/ctrlProp360.xml"/><Relationship Id="rId35" Type="http://schemas.openxmlformats.org/officeDocument/2006/relationships/ctrlProp" Target="../ctrlProps/ctrlProp36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370.xml"/><Relationship Id="rId13" Type="http://schemas.openxmlformats.org/officeDocument/2006/relationships/ctrlProp" Target="../ctrlProps/ctrlProp375.xml"/><Relationship Id="rId18" Type="http://schemas.openxmlformats.org/officeDocument/2006/relationships/ctrlProp" Target="../ctrlProps/ctrlProp380.xml"/><Relationship Id="rId26" Type="http://schemas.openxmlformats.org/officeDocument/2006/relationships/ctrlProp" Target="../ctrlProps/ctrlProp388.xml"/><Relationship Id="rId3" Type="http://schemas.openxmlformats.org/officeDocument/2006/relationships/vmlDrawing" Target="../drawings/vmlDrawing11.vml"/><Relationship Id="rId21" Type="http://schemas.openxmlformats.org/officeDocument/2006/relationships/ctrlProp" Target="../ctrlProps/ctrlProp383.xml"/><Relationship Id="rId34" Type="http://schemas.openxmlformats.org/officeDocument/2006/relationships/ctrlProp" Target="../ctrlProps/ctrlProp396.xml"/><Relationship Id="rId7" Type="http://schemas.openxmlformats.org/officeDocument/2006/relationships/ctrlProp" Target="../ctrlProps/ctrlProp369.xml"/><Relationship Id="rId12" Type="http://schemas.openxmlformats.org/officeDocument/2006/relationships/ctrlProp" Target="../ctrlProps/ctrlProp374.xml"/><Relationship Id="rId17" Type="http://schemas.openxmlformats.org/officeDocument/2006/relationships/ctrlProp" Target="../ctrlProps/ctrlProp379.xml"/><Relationship Id="rId25" Type="http://schemas.openxmlformats.org/officeDocument/2006/relationships/ctrlProp" Target="../ctrlProps/ctrlProp387.xml"/><Relationship Id="rId33" Type="http://schemas.openxmlformats.org/officeDocument/2006/relationships/ctrlProp" Target="../ctrlProps/ctrlProp395.xml"/><Relationship Id="rId2" Type="http://schemas.openxmlformats.org/officeDocument/2006/relationships/drawing" Target="../drawings/drawing11.xml"/><Relationship Id="rId16" Type="http://schemas.openxmlformats.org/officeDocument/2006/relationships/ctrlProp" Target="../ctrlProps/ctrlProp378.xml"/><Relationship Id="rId20" Type="http://schemas.openxmlformats.org/officeDocument/2006/relationships/ctrlProp" Target="../ctrlProps/ctrlProp382.xml"/><Relationship Id="rId29" Type="http://schemas.openxmlformats.org/officeDocument/2006/relationships/ctrlProp" Target="../ctrlProps/ctrlProp391.xml"/><Relationship Id="rId1" Type="http://schemas.openxmlformats.org/officeDocument/2006/relationships/printerSettings" Target="../printerSettings/printerSettings21.bin"/><Relationship Id="rId6" Type="http://schemas.openxmlformats.org/officeDocument/2006/relationships/ctrlProp" Target="../ctrlProps/ctrlProp368.xml"/><Relationship Id="rId11" Type="http://schemas.openxmlformats.org/officeDocument/2006/relationships/ctrlProp" Target="../ctrlProps/ctrlProp373.xml"/><Relationship Id="rId24" Type="http://schemas.openxmlformats.org/officeDocument/2006/relationships/ctrlProp" Target="../ctrlProps/ctrlProp386.xml"/><Relationship Id="rId32" Type="http://schemas.openxmlformats.org/officeDocument/2006/relationships/ctrlProp" Target="../ctrlProps/ctrlProp394.xml"/><Relationship Id="rId5" Type="http://schemas.openxmlformats.org/officeDocument/2006/relationships/ctrlProp" Target="../ctrlProps/ctrlProp367.xml"/><Relationship Id="rId15" Type="http://schemas.openxmlformats.org/officeDocument/2006/relationships/ctrlProp" Target="../ctrlProps/ctrlProp377.xml"/><Relationship Id="rId23" Type="http://schemas.openxmlformats.org/officeDocument/2006/relationships/ctrlProp" Target="../ctrlProps/ctrlProp385.xml"/><Relationship Id="rId28" Type="http://schemas.openxmlformats.org/officeDocument/2006/relationships/ctrlProp" Target="../ctrlProps/ctrlProp390.xml"/><Relationship Id="rId10" Type="http://schemas.openxmlformats.org/officeDocument/2006/relationships/ctrlProp" Target="../ctrlProps/ctrlProp372.xml"/><Relationship Id="rId19" Type="http://schemas.openxmlformats.org/officeDocument/2006/relationships/ctrlProp" Target="../ctrlProps/ctrlProp381.xml"/><Relationship Id="rId31" Type="http://schemas.openxmlformats.org/officeDocument/2006/relationships/ctrlProp" Target="../ctrlProps/ctrlProp393.xml"/><Relationship Id="rId4" Type="http://schemas.openxmlformats.org/officeDocument/2006/relationships/ctrlProp" Target="../ctrlProps/ctrlProp366.xml"/><Relationship Id="rId9" Type="http://schemas.openxmlformats.org/officeDocument/2006/relationships/ctrlProp" Target="../ctrlProps/ctrlProp371.xml"/><Relationship Id="rId14" Type="http://schemas.openxmlformats.org/officeDocument/2006/relationships/ctrlProp" Target="../ctrlProps/ctrlProp376.xml"/><Relationship Id="rId22" Type="http://schemas.openxmlformats.org/officeDocument/2006/relationships/ctrlProp" Target="../ctrlProps/ctrlProp384.xml"/><Relationship Id="rId27" Type="http://schemas.openxmlformats.org/officeDocument/2006/relationships/ctrlProp" Target="../ctrlProps/ctrlProp389.xml"/><Relationship Id="rId30" Type="http://schemas.openxmlformats.org/officeDocument/2006/relationships/ctrlProp" Target="../ctrlProps/ctrlProp392.xml"/><Relationship Id="rId35" Type="http://schemas.openxmlformats.org/officeDocument/2006/relationships/ctrlProp" Target="../ctrlProps/ctrlProp397.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8" Type="http://schemas.openxmlformats.org/officeDocument/2006/relationships/ctrlProp" Target="../ctrlProps/ctrlProp402.xml"/><Relationship Id="rId13" Type="http://schemas.openxmlformats.org/officeDocument/2006/relationships/ctrlProp" Target="../ctrlProps/ctrlProp407.xml"/><Relationship Id="rId18" Type="http://schemas.openxmlformats.org/officeDocument/2006/relationships/ctrlProp" Target="../ctrlProps/ctrlProp412.xml"/><Relationship Id="rId26" Type="http://schemas.openxmlformats.org/officeDocument/2006/relationships/ctrlProp" Target="../ctrlProps/ctrlProp420.xml"/><Relationship Id="rId3" Type="http://schemas.openxmlformats.org/officeDocument/2006/relationships/vmlDrawing" Target="../drawings/vmlDrawing12.vml"/><Relationship Id="rId21" Type="http://schemas.openxmlformats.org/officeDocument/2006/relationships/ctrlProp" Target="../ctrlProps/ctrlProp415.xml"/><Relationship Id="rId34" Type="http://schemas.openxmlformats.org/officeDocument/2006/relationships/ctrlProp" Target="../ctrlProps/ctrlProp428.xml"/><Relationship Id="rId7" Type="http://schemas.openxmlformats.org/officeDocument/2006/relationships/ctrlProp" Target="../ctrlProps/ctrlProp401.xml"/><Relationship Id="rId12" Type="http://schemas.openxmlformats.org/officeDocument/2006/relationships/ctrlProp" Target="../ctrlProps/ctrlProp406.xml"/><Relationship Id="rId17" Type="http://schemas.openxmlformats.org/officeDocument/2006/relationships/ctrlProp" Target="../ctrlProps/ctrlProp411.xml"/><Relationship Id="rId25" Type="http://schemas.openxmlformats.org/officeDocument/2006/relationships/ctrlProp" Target="../ctrlProps/ctrlProp419.xml"/><Relationship Id="rId33" Type="http://schemas.openxmlformats.org/officeDocument/2006/relationships/ctrlProp" Target="../ctrlProps/ctrlProp427.xml"/><Relationship Id="rId2" Type="http://schemas.openxmlformats.org/officeDocument/2006/relationships/drawing" Target="../drawings/drawing12.xml"/><Relationship Id="rId16" Type="http://schemas.openxmlformats.org/officeDocument/2006/relationships/ctrlProp" Target="../ctrlProps/ctrlProp410.xml"/><Relationship Id="rId20" Type="http://schemas.openxmlformats.org/officeDocument/2006/relationships/ctrlProp" Target="../ctrlProps/ctrlProp414.xml"/><Relationship Id="rId29" Type="http://schemas.openxmlformats.org/officeDocument/2006/relationships/ctrlProp" Target="../ctrlProps/ctrlProp423.xml"/><Relationship Id="rId1" Type="http://schemas.openxmlformats.org/officeDocument/2006/relationships/printerSettings" Target="../printerSettings/printerSettings23.bin"/><Relationship Id="rId6" Type="http://schemas.openxmlformats.org/officeDocument/2006/relationships/ctrlProp" Target="../ctrlProps/ctrlProp400.xml"/><Relationship Id="rId11" Type="http://schemas.openxmlformats.org/officeDocument/2006/relationships/ctrlProp" Target="../ctrlProps/ctrlProp405.xml"/><Relationship Id="rId24" Type="http://schemas.openxmlformats.org/officeDocument/2006/relationships/ctrlProp" Target="../ctrlProps/ctrlProp418.xml"/><Relationship Id="rId32" Type="http://schemas.openxmlformats.org/officeDocument/2006/relationships/ctrlProp" Target="../ctrlProps/ctrlProp426.xml"/><Relationship Id="rId5" Type="http://schemas.openxmlformats.org/officeDocument/2006/relationships/ctrlProp" Target="../ctrlProps/ctrlProp399.xml"/><Relationship Id="rId15" Type="http://schemas.openxmlformats.org/officeDocument/2006/relationships/ctrlProp" Target="../ctrlProps/ctrlProp409.xml"/><Relationship Id="rId23" Type="http://schemas.openxmlformats.org/officeDocument/2006/relationships/ctrlProp" Target="../ctrlProps/ctrlProp417.xml"/><Relationship Id="rId28" Type="http://schemas.openxmlformats.org/officeDocument/2006/relationships/ctrlProp" Target="../ctrlProps/ctrlProp422.xml"/><Relationship Id="rId10" Type="http://schemas.openxmlformats.org/officeDocument/2006/relationships/ctrlProp" Target="../ctrlProps/ctrlProp404.xml"/><Relationship Id="rId19" Type="http://schemas.openxmlformats.org/officeDocument/2006/relationships/ctrlProp" Target="../ctrlProps/ctrlProp413.xml"/><Relationship Id="rId31" Type="http://schemas.openxmlformats.org/officeDocument/2006/relationships/ctrlProp" Target="../ctrlProps/ctrlProp425.xml"/><Relationship Id="rId4" Type="http://schemas.openxmlformats.org/officeDocument/2006/relationships/ctrlProp" Target="../ctrlProps/ctrlProp398.xml"/><Relationship Id="rId9" Type="http://schemas.openxmlformats.org/officeDocument/2006/relationships/ctrlProp" Target="../ctrlProps/ctrlProp403.xml"/><Relationship Id="rId14" Type="http://schemas.openxmlformats.org/officeDocument/2006/relationships/ctrlProp" Target="../ctrlProps/ctrlProp408.xml"/><Relationship Id="rId22" Type="http://schemas.openxmlformats.org/officeDocument/2006/relationships/ctrlProp" Target="../ctrlProps/ctrlProp416.xml"/><Relationship Id="rId27" Type="http://schemas.openxmlformats.org/officeDocument/2006/relationships/ctrlProp" Target="../ctrlProps/ctrlProp421.xml"/><Relationship Id="rId30" Type="http://schemas.openxmlformats.org/officeDocument/2006/relationships/ctrlProp" Target="../ctrlProps/ctrlProp424.xml"/><Relationship Id="rId35" Type="http://schemas.openxmlformats.org/officeDocument/2006/relationships/ctrlProp" Target="../ctrlProps/ctrlProp429.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8" Type="http://schemas.openxmlformats.org/officeDocument/2006/relationships/ctrlProp" Target="../ctrlProps/ctrlProp434.xml"/><Relationship Id="rId13" Type="http://schemas.openxmlformats.org/officeDocument/2006/relationships/ctrlProp" Target="../ctrlProps/ctrlProp439.xml"/><Relationship Id="rId18" Type="http://schemas.openxmlformats.org/officeDocument/2006/relationships/ctrlProp" Target="../ctrlProps/ctrlProp444.xml"/><Relationship Id="rId26" Type="http://schemas.openxmlformats.org/officeDocument/2006/relationships/ctrlProp" Target="../ctrlProps/ctrlProp452.xml"/><Relationship Id="rId3" Type="http://schemas.openxmlformats.org/officeDocument/2006/relationships/vmlDrawing" Target="../drawings/vmlDrawing13.vml"/><Relationship Id="rId21" Type="http://schemas.openxmlformats.org/officeDocument/2006/relationships/ctrlProp" Target="../ctrlProps/ctrlProp447.xml"/><Relationship Id="rId34" Type="http://schemas.openxmlformats.org/officeDocument/2006/relationships/ctrlProp" Target="../ctrlProps/ctrlProp460.xml"/><Relationship Id="rId7" Type="http://schemas.openxmlformats.org/officeDocument/2006/relationships/ctrlProp" Target="../ctrlProps/ctrlProp433.xml"/><Relationship Id="rId12" Type="http://schemas.openxmlformats.org/officeDocument/2006/relationships/ctrlProp" Target="../ctrlProps/ctrlProp438.xml"/><Relationship Id="rId17" Type="http://schemas.openxmlformats.org/officeDocument/2006/relationships/ctrlProp" Target="../ctrlProps/ctrlProp443.xml"/><Relationship Id="rId25" Type="http://schemas.openxmlformats.org/officeDocument/2006/relationships/ctrlProp" Target="../ctrlProps/ctrlProp451.xml"/><Relationship Id="rId33" Type="http://schemas.openxmlformats.org/officeDocument/2006/relationships/ctrlProp" Target="../ctrlProps/ctrlProp459.xml"/><Relationship Id="rId2" Type="http://schemas.openxmlformats.org/officeDocument/2006/relationships/drawing" Target="../drawings/drawing13.xml"/><Relationship Id="rId16" Type="http://schemas.openxmlformats.org/officeDocument/2006/relationships/ctrlProp" Target="../ctrlProps/ctrlProp442.xml"/><Relationship Id="rId20" Type="http://schemas.openxmlformats.org/officeDocument/2006/relationships/ctrlProp" Target="../ctrlProps/ctrlProp446.xml"/><Relationship Id="rId29" Type="http://schemas.openxmlformats.org/officeDocument/2006/relationships/ctrlProp" Target="../ctrlProps/ctrlProp455.xml"/><Relationship Id="rId1" Type="http://schemas.openxmlformats.org/officeDocument/2006/relationships/printerSettings" Target="../printerSettings/printerSettings25.bin"/><Relationship Id="rId6" Type="http://schemas.openxmlformats.org/officeDocument/2006/relationships/ctrlProp" Target="../ctrlProps/ctrlProp432.xml"/><Relationship Id="rId11" Type="http://schemas.openxmlformats.org/officeDocument/2006/relationships/ctrlProp" Target="../ctrlProps/ctrlProp437.xml"/><Relationship Id="rId24" Type="http://schemas.openxmlformats.org/officeDocument/2006/relationships/ctrlProp" Target="../ctrlProps/ctrlProp450.xml"/><Relationship Id="rId32" Type="http://schemas.openxmlformats.org/officeDocument/2006/relationships/ctrlProp" Target="../ctrlProps/ctrlProp458.xml"/><Relationship Id="rId5" Type="http://schemas.openxmlformats.org/officeDocument/2006/relationships/ctrlProp" Target="../ctrlProps/ctrlProp431.xml"/><Relationship Id="rId15" Type="http://schemas.openxmlformats.org/officeDocument/2006/relationships/ctrlProp" Target="../ctrlProps/ctrlProp441.xml"/><Relationship Id="rId23" Type="http://schemas.openxmlformats.org/officeDocument/2006/relationships/ctrlProp" Target="../ctrlProps/ctrlProp449.xml"/><Relationship Id="rId28" Type="http://schemas.openxmlformats.org/officeDocument/2006/relationships/ctrlProp" Target="../ctrlProps/ctrlProp454.xml"/><Relationship Id="rId10" Type="http://schemas.openxmlformats.org/officeDocument/2006/relationships/ctrlProp" Target="../ctrlProps/ctrlProp436.xml"/><Relationship Id="rId19" Type="http://schemas.openxmlformats.org/officeDocument/2006/relationships/ctrlProp" Target="../ctrlProps/ctrlProp445.xml"/><Relationship Id="rId31" Type="http://schemas.openxmlformats.org/officeDocument/2006/relationships/ctrlProp" Target="../ctrlProps/ctrlProp457.xml"/><Relationship Id="rId4" Type="http://schemas.openxmlformats.org/officeDocument/2006/relationships/ctrlProp" Target="../ctrlProps/ctrlProp430.xml"/><Relationship Id="rId9" Type="http://schemas.openxmlformats.org/officeDocument/2006/relationships/ctrlProp" Target="../ctrlProps/ctrlProp435.xml"/><Relationship Id="rId14" Type="http://schemas.openxmlformats.org/officeDocument/2006/relationships/ctrlProp" Target="../ctrlProps/ctrlProp440.xml"/><Relationship Id="rId22" Type="http://schemas.openxmlformats.org/officeDocument/2006/relationships/ctrlProp" Target="../ctrlProps/ctrlProp448.xml"/><Relationship Id="rId27" Type="http://schemas.openxmlformats.org/officeDocument/2006/relationships/ctrlProp" Target="../ctrlProps/ctrlProp453.xml"/><Relationship Id="rId30" Type="http://schemas.openxmlformats.org/officeDocument/2006/relationships/ctrlProp" Target="../ctrlProps/ctrlProp456.x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trlProp" Target="../ctrlProps/ctrlProp465.xml"/><Relationship Id="rId13" Type="http://schemas.openxmlformats.org/officeDocument/2006/relationships/ctrlProp" Target="../ctrlProps/ctrlProp470.xml"/><Relationship Id="rId18" Type="http://schemas.openxmlformats.org/officeDocument/2006/relationships/ctrlProp" Target="../ctrlProps/ctrlProp475.xml"/><Relationship Id="rId26" Type="http://schemas.openxmlformats.org/officeDocument/2006/relationships/ctrlProp" Target="../ctrlProps/ctrlProp483.xml"/><Relationship Id="rId3" Type="http://schemas.openxmlformats.org/officeDocument/2006/relationships/vmlDrawing" Target="../drawings/vmlDrawing14.vml"/><Relationship Id="rId21" Type="http://schemas.openxmlformats.org/officeDocument/2006/relationships/ctrlProp" Target="../ctrlProps/ctrlProp478.xml"/><Relationship Id="rId34" Type="http://schemas.openxmlformats.org/officeDocument/2006/relationships/ctrlProp" Target="../ctrlProps/ctrlProp491.xml"/><Relationship Id="rId7" Type="http://schemas.openxmlformats.org/officeDocument/2006/relationships/ctrlProp" Target="../ctrlProps/ctrlProp464.xml"/><Relationship Id="rId12" Type="http://schemas.openxmlformats.org/officeDocument/2006/relationships/ctrlProp" Target="../ctrlProps/ctrlProp469.xml"/><Relationship Id="rId17" Type="http://schemas.openxmlformats.org/officeDocument/2006/relationships/ctrlProp" Target="../ctrlProps/ctrlProp474.xml"/><Relationship Id="rId25" Type="http://schemas.openxmlformats.org/officeDocument/2006/relationships/ctrlProp" Target="../ctrlProps/ctrlProp482.xml"/><Relationship Id="rId33" Type="http://schemas.openxmlformats.org/officeDocument/2006/relationships/ctrlProp" Target="../ctrlProps/ctrlProp490.xml"/><Relationship Id="rId2" Type="http://schemas.openxmlformats.org/officeDocument/2006/relationships/drawing" Target="../drawings/drawing14.xml"/><Relationship Id="rId16" Type="http://schemas.openxmlformats.org/officeDocument/2006/relationships/ctrlProp" Target="../ctrlProps/ctrlProp473.xml"/><Relationship Id="rId20" Type="http://schemas.openxmlformats.org/officeDocument/2006/relationships/ctrlProp" Target="../ctrlProps/ctrlProp477.xml"/><Relationship Id="rId29" Type="http://schemas.openxmlformats.org/officeDocument/2006/relationships/ctrlProp" Target="../ctrlProps/ctrlProp486.xml"/><Relationship Id="rId1" Type="http://schemas.openxmlformats.org/officeDocument/2006/relationships/printerSettings" Target="../printerSettings/printerSettings27.bin"/><Relationship Id="rId6" Type="http://schemas.openxmlformats.org/officeDocument/2006/relationships/ctrlProp" Target="../ctrlProps/ctrlProp463.xml"/><Relationship Id="rId11" Type="http://schemas.openxmlformats.org/officeDocument/2006/relationships/ctrlProp" Target="../ctrlProps/ctrlProp468.xml"/><Relationship Id="rId24" Type="http://schemas.openxmlformats.org/officeDocument/2006/relationships/ctrlProp" Target="../ctrlProps/ctrlProp481.xml"/><Relationship Id="rId32" Type="http://schemas.openxmlformats.org/officeDocument/2006/relationships/ctrlProp" Target="../ctrlProps/ctrlProp489.xml"/><Relationship Id="rId5" Type="http://schemas.openxmlformats.org/officeDocument/2006/relationships/ctrlProp" Target="../ctrlProps/ctrlProp462.xml"/><Relationship Id="rId15" Type="http://schemas.openxmlformats.org/officeDocument/2006/relationships/ctrlProp" Target="../ctrlProps/ctrlProp472.xml"/><Relationship Id="rId23" Type="http://schemas.openxmlformats.org/officeDocument/2006/relationships/ctrlProp" Target="../ctrlProps/ctrlProp480.xml"/><Relationship Id="rId28" Type="http://schemas.openxmlformats.org/officeDocument/2006/relationships/ctrlProp" Target="../ctrlProps/ctrlProp485.xml"/><Relationship Id="rId10" Type="http://schemas.openxmlformats.org/officeDocument/2006/relationships/ctrlProp" Target="../ctrlProps/ctrlProp467.xml"/><Relationship Id="rId19" Type="http://schemas.openxmlformats.org/officeDocument/2006/relationships/ctrlProp" Target="../ctrlProps/ctrlProp476.xml"/><Relationship Id="rId31" Type="http://schemas.openxmlformats.org/officeDocument/2006/relationships/ctrlProp" Target="../ctrlProps/ctrlProp488.xml"/><Relationship Id="rId4" Type="http://schemas.openxmlformats.org/officeDocument/2006/relationships/ctrlProp" Target="../ctrlProps/ctrlProp461.xml"/><Relationship Id="rId9" Type="http://schemas.openxmlformats.org/officeDocument/2006/relationships/ctrlProp" Target="../ctrlProps/ctrlProp466.xml"/><Relationship Id="rId14" Type="http://schemas.openxmlformats.org/officeDocument/2006/relationships/ctrlProp" Target="../ctrlProps/ctrlProp471.xml"/><Relationship Id="rId22" Type="http://schemas.openxmlformats.org/officeDocument/2006/relationships/ctrlProp" Target="../ctrlProps/ctrlProp479.xml"/><Relationship Id="rId27" Type="http://schemas.openxmlformats.org/officeDocument/2006/relationships/ctrlProp" Target="../ctrlProps/ctrlProp484.xml"/><Relationship Id="rId30" Type="http://schemas.openxmlformats.org/officeDocument/2006/relationships/ctrlProp" Target="../ctrlProps/ctrlProp487.xml"/><Relationship Id="rId35" Type="http://schemas.openxmlformats.org/officeDocument/2006/relationships/ctrlProp" Target="../ctrlProps/ctrlProp492.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58.xml"/><Relationship Id="rId18" Type="http://schemas.openxmlformats.org/officeDocument/2006/relationships/ctrlProp" Target="../ctrlProps/ctrlProp63.xml"/><Relationship Id="rId26" Type="http://schemas.openxmlformats.org/officeDocument/2006/relationships/ctrlProp" Target="../ctrlProps/ctrlProp71.xml"/><Relationship Id="rId39" Type="http://schemas.openxmlformats.org/officeDocument/2006/relationships/ctrlProp" Target="../ctrlProps/ctrlProp84.xml"/><Relationship Id="rId3" Type="http://schemas.openxmlformats.org/officeDocument/2006/relationships/vmlDrawing" Target="../drawings/vmlDrawing2.vml"/><Relationship Id="rId21" Type="http://schemas.openxmlformats.org/officeDocument/2006/relationships/ctrlProp" Target="../ctrlProps/ctrlProp66.xml"/><Relationship Id="rId34" Type="http://schemas.openxmlformats.org/officeDocument/2006/relationships/ctrlProp" Target="../ctrlProps/ctrlProp79.xml"/><Relationship Id="rId42" Type="http://schemas.openxmlformats.org/officeDocument/2006/relationships/ctrlProp" Target="../ctrlProps/ctrlProp87.xml"/><Relationship Id="rId47" Type="http://schemas.openxmlformats.org/officeDocument/2006/relationships/ctrlProp" Target="../ctrlProps/ctrlProp92.xml"/><Relationship Id="rId50" Type="http://schemas.openxmlformats.org/officeDocument/2006/relationships/ctrlProp" Target="../ctrlProps/ctrlProp95.xml"/><Relationship Id="rId7" Type="http://schemas.openxmlformats.org/officeDocument/2006/relationships/ctrlProp" Target="../ctrlProps/ctrlProp52.xml"/><Relationship Id="rId12" Type="http://schemas.openxmlformats.org/officeDocument/2006/relationships/ctrlProp" Target="../ctrlProps/ctrlProp57.xml"/><Relationship Id="rId17" Type="http://schemas.openxmlformats.org/officeDocument/2006/relationships/ctrlProp" Target="../ctrlProps/ctrlProp62.xml"/><Relationship Id="rId25" Type="http://schemas.openxmlformats.org/officeDocument/2006/relationships/ctrlProp" Target="../ctrlProps/ctrlProp70.xml"/><Relationship Id="rId33" Type="http://schemas.openxmlformats.org/officeDocument/2006/relationships/ctrlProp" Target="../ctrlProps/ctrlProp78.xml"/><Relationship Id="rId38" Type="http://schemas.openxmlformats.org/officeDocument/2006/relationships/ctrlProp" Target="../ctrlProps/ctrlProp83.xml"/><Relationship Id="rId46" Type="http://schemas.openxmlformats.org/officeDocument/2006/relationships/ctrlProp" Target="../ctrlProps/ctrlProp91.xml"/><Relationship Id="rId2" Type="http://schemas.openxmlformats.org/officeDocument/2006/relationships/drawing" Target="../drawings/drawing2.xml"/><Relationship Id="rId16" Type="http://schemas.openxmlformats.org/officeDocument/2006/relationships/ctrlProp" Target="../ctrlProps/ctrlProp61.xml"/><Relationship Id="rId20" Type="http://schemas.openxmlformats.org/officeDocument/2006/relationships/ctrlProp" Target="../ctrlProps/ctrlProp65.xml"/><Relationship Id="rId29" Type="http://schemas.openxmlformats.org/officeDocument/2006/relationships/ctrlProp" Target="../ctrlProps/ctrlProp74.xml"/><Relationship Id="rId41" Type="http://schemas.openxmlformats.org/officeDocument/2006/relationships/ctrlProp" Target="../ctrlProps/ctrlProp86.xml"/><Relationship Id="rId1" Type="http://schemas.openxmlformats.org/officeDocument/2006/relationships/printerSettings" Target="../printerSettings/printerSettings5.bin"/><Relationship Id="rId6" Type="http://schemas.openxmlformats.org/officeDocument/2006/relationships/ctrlProp" Target="../ctrlProps/ctrlProp51.xml"/><Relationship Id="rId11" Type="http://schemas.openxmlformats.org/officeDocument/2006/relationships/ctrlProp" Target="../ctrlProps/ctrlProp56.xml"/><Relationship Id="rId24" Type="http://schemas.openxmlformats.org/officeDocument/2006/relationships/ctrlProp" Target="../ctrlProps/ctrlProp69.xml"/><Relationship Id="rId32" Type="http://schemas.openxmlformats.org/officeDocument/2006/relationships/ctrlProp" Target="../ctrlProps/ctrlProp77.xml"/><Relationship Id="rId37" Type="http://schemas.openxmlformats.org/officeDocument/2006/relationships/ctrlProp" Target="../ctrlProps/ctrlProp82.xml"/><Relationship Id="rId40" Type="http://schemas.openxmlformats.org/officeDocument/2006/relationships/ctrlProp" Target="../ctrlProps/ctrlProp85.xml"/><Relationship Id="rId45" Type="http://schemas.openxmlformats.org/officeDocument/2006/relationships/ctrlProp" Target="../ctrlProps/ctrlProp90.xml"/><Relationship Id="rId5" Type="http://schemas.openxmlformats.org/officeDocument/2006/relationships/ctrlProp" Target="../ctrlProps/ctrlProp50.xml"/><Relationship Id="rId15" Type="http://schemas.openxmlformats.org/officeDocument/2006/relationships/ctrlProp" Target="../ctrlProps/ctrlProp60.xml"/><Relationship Id="rId23" Type="http://schemas.openxmlformats.org/officeDocument/2006/relationships/ctrlProp" Target="../ctrlProps/ctrlProp68.xml"/><Relationship Id="rId28" Type="http://schemas.openxmlformats.org/officeDocument/2006/relationships/ctrlProp" Target="../ctrlProps/ctrlProp73.xml"/><Relationship Id="rId36" Type="http://schemas.openxmlformats.org/officeDocument/2006/relationships/ctrlProp" Target="../ctrlProps/ctrlProp81.xml"/><Relationship Id="rId49" Type="http://schemas.openxmlformats.org/officeDocument/2006/relationships/ctrlProp" Target="../ctrlProps/ctrlProp94.xml"/><Relationship Id="rId10" Type="http://schemas.openxmlformats.org/officeDocument/2006/relationships/ctrlProp" Target="../ctrlProps/ctrlProp55.xml"/><Relationship Id="rId19" Type="http://schemas.openxmlformats.org/officeDocument/2006/relationships/ctrlProp" Target="../ctrlProps/ctrlProp64.xml"/><Relationship Id="rId31" Type="http://schemas.openxmlformats.org/officeDocument/2006/relationships/ctrlProp" Target="../ctrlProps/ctrlProp76.xml"/><Relationship Id="rId44" Type="http://schemas.openxmlformats.org/officeDocument/2006/relationships/ctrlProp" Target="../ctrlProps/ctrlProp89.xml"/><Relationship Id="rId4" Type="http://schemas.openxmlformats.org/officeDocument/2006/relationships/ctrlProp" Target="../ctrlProps/ctrlProp49.xml"/><Relationship Id="rId9" Type="http://schemas.openxmlformats.org/officeDocument/2006/relationships/ctrlProp" Target="../ctrlProps/ctrlProp54.xml"/><Relationship Id="rId14" Type="http://schemas.openxmlformats.org/officeDocument/2006/relationships/ctrlProp" Target="../ctrlProps/ctrlProp59.xml"/><Relationship Id="rId22" Type="http://schemas.openxmlformats.org/officeDocument/2006/relationships/ctrlProp" Target="../ctrlProps/ctrlProp67.xml"/><Relationship Id="rId27" Type="http://schemas.openxmlformats.org/officeDocument/2006/relationships/ctrlProp" Target="../ctrlProps/ctrlProp72.xml"/><Relationship Id="rId30" Type="http://schemas.openxmlformats.org/officeDocument/2006/relationships/ctrlProp" Target="../ctrlProps/ctrlProp75.xml"/><Relationship Id="rId35" Type="http://schemas.openxmlformats.org/officeDocument/2006/relationships/ctrlProp" Target="../ctrlProps/ctrlProp80.xml"/><Relationship Id="rId43" Type="http://schemas.openxmlformats.org/officeDocument/2006/relationships/ctrlProp" Target="../ctrlProps/ctrlProp88.xml"/><Relationship Id="rId48" Type="http://schemas.openxmlformats.org/officeDocument/2006/relationships/ctrlProp" Target="../ctrlProps/ctrlProp93.xml"/><Relationship Id="rId8" Type="http://schemas.openxmlformats.org/officeDocument/2006/relationships/ctrlProp" Target="../ctrlProps/ctrlProp53.xml"/><Relationship Id="rId51" Type="http://schemas.openxmlformats.org/officeDocument/2006/relationships/ctrlProp" Target="../ctrlProps/ctrlProp96.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106.xml"/><Relationship Id="rId18" Type="http://schemas.openxmlformats.org/officeDocument/2006/relationships/ctrlProp" Target="../ctrlProps/ctrlProp111.xml"/><Relationship Id="rId26" Type="http://schemas.openxmlformats.org/officeDocument/2006/relationships/ctrlProp" Target="../ctrlProps/ctrlProp119.xml"/><Relationship Id="rId39" Type="http://schemas.openxmlformats.org/officeDocument/2006/relationships/ctrlProp" Target="../ctrlProps/ctrlProp132.xml"/><Relationship Id="rId3" Type="http://schemas.openxmlformats.org/officeDocument/2006/relationships/vmlDrawing" Target="../drawings/vmlDrawing3.vml"/><Relationship Id="rId21" Type="http://schemas.openxmlformats.org/officeDocument/2006/relationships/ctrlProp" Target="../ctrlProps/ctrlProp114.xml"/><Relationship Id="rId34" Type="http://schemas.openxmlformats.org/officeDocument/2006/relationships/ctrlProp" Target="../ctrlProps/ctrlProp127.xml"/><Relationship Id="rId42" Type="http://schemas.openxmlformats.org/officeDocument/2006/relationships/ctrlProp" Target="../ctrlProps/ctrlProp135.xml"/><Relationship Id="rId47" Type="http://schemas.openxmlformats.org/officeDocument/2006/relationships/ctrlProp" Target="../ctrlProps/ctrlProp140.xml"/><Relationship Id="rId50" Type="http://schemas.openxmlformats.org/officeDocument/2006/relationships/ctrlProp" Target="../ctrlProps/ctrlProp143.xml"/><Relationship Id="rId7" Type="http://schemas.openxmlformats.org/officeDocument/2006/relationships/ctrlProp" Target="../ctrlProps/ctrlProp100.xml"/><Relationship Id="rId12" Type="http://schemas.openxmlformats.org/officeDocument/2006/relationships/ctrlProp" Target="../ctrlProps/ctrlProp105.xml"/><Relationship Id="rId17" Type="http://schemas.openxmlformats.org/officeDocument/2006/relationships/ctrlProp" Target="../ctrlProps/ctrlProp110.xml"/><Relationship Id="rId25" Type="http://schemas.openxmlformats.org/officeDocument/2006/relationships/ctrlProp" Target="../ctrlProps/ctrlProp118.xml"/><Relationship Id="rId33" Type="http://schemas.openxmlformats.org/officeDocument/2006/relationships/ctrlProp" Target="../ctrlProps/ctrlProp126.xml"/><Relationship Id="rId38" Type="http://schemas.openxmlformats.org/officeDocument/2006/relationships/ctrlProp" Target="../ctrlProps/ctrlProp131.xml"/><Relationship Id="rId46" Type="http://schemas.openxmlformats.org/officeDocument/2006/relationships/ctrlProp" Target="../ctrlProps/ctrlProp139.xml"/><Relationship Id="rId2" Type="http://schemas.openxmlformats.org/officeDocument/2006/relationships/drawing" Target="../drawings/drawing3.xml"/><Relationship Id="rId16" Type="http://schemas.openxmlformats.org/officeDocument/2006/relationships/ctrlProp" Target="../ctrlProps/ctrlProp109.xml"/><Relationship Id="rId20" Type="http://schemas.openxmlformats.org/officeDocument/2006/relationships/ctrlProp" Target="../ctrlProps/ctrlProp113.xml"/><Relationship Id="rId29" Type="http://schemas.openxmlformats.org/officeDocument/2006/relationships/ctrlProp" Target="../ctrlProps/ctrlProp122.xml"/><Relationship Id="rId41" Type="http://schemas.openxmlformats.org/officeDocument/2006/relationships/ctrlProp" Target="../ctrlProps/ctrlProp134.xml"/><Relationship Id="rId1" Type="http://schemas.openxmlformats.org/officeDocument/2006/relationships/printerSettings" Target="../printerSettings/printerSettings7.bin"/><Relationship Id="rId6" Type="http://schemas.openxmlformats.org/officeDocument/2006/relationships/ctrlProp" Target="../ctrlProps/ctrlProp99.xml"/><Relationship Id="rId11" Type="http://schemas.openxmlformats.org/officeDocument/2006/relationships/ctrlProp" Target="../ctrlProps/ctrlProp104.xml"/><Relationship Id="rId24" Type="http://schemas.openxmlformats.org/officeDocument/2006/relationships/ctrlProp" Target="../ctrlProps/ctrlProp117.xml"/><Relationship Id="rId32" Type="http://schemas.openxmlformats.org/officeDocument/2006/relationships/ctrlProp" Target="../ctrlProps/ctrlProp125.xml"/><Relationship Id="rId37" Type="http://schemas.openxmlformats.org/officeDocument/2006/relationships/ctrlProp" Target="../ctrlProps/ctrlProp130.xml"/><Relationship Id="rId40" Type="http://schemas.openxmlformats.org/officeDocument/2006/relationships/ctrlProp" Target="../ctrlProps/ctrlProp133.xml"/><Relationship Id="rId45" Type="http://schemas.openxmlformats.org/officeDocument/2006/relationships/ctrlProp" Target="../ctrlProps/ctrlProp138.xml"/><Relationship Id="rId5" Type="http://schemas.openxmlformats.org/officeDocument/2006/relationships/ctrlProp" Target="../ctrlProps/ctrlProp98.xml"/><Relationship Id="rId15" Type="http://schemas.openxmlformats.org/officeDocument/2006/relationships/ctrlProp" Target="../ctrlProps/ctrlProp108.xml"/><Relationship Id="rId23" Type="http://schemas.openxmlformats.org/officeDocument/2006/relationships/ctrlProp" Target="../ctrlProps/ctrlProp116.xml"/><Relationship Id="rId28" Type="http://schemas.openxmlformats.org/officeDocument/2006/relationships/ctrlProp" Target="../ctrlProps/ctrlProp121.xml"/><Relationship Id="rId36" Type="http://schemas.openxmlformats.org/officeDocument/2006/relationships/ctrlProp" Target="../ctrlProps/ctrlProp129.xml"/><Relationship Id="rId49" Type="http://schemas.openxmlformats.org/officeDocument/2006/relationships/ctrlProp" Target="../ctrlProps/ctrlProp142.xml"/><Relationship Id="rId10" Type="http://schemas.openxmlformats.org/officeDocument/2006/relationships/ctrlProp" Target="../ctrlProps/ctrlProp103.xml"/><Relationship Id="rId19" Type="http://schemas.openxmlformats.org/officeDocument/2006/relationships/ctrlProp" Target="../ctrlProps/ctrlProp112.xml"/><Relationship Id="rId31" Type="http://schemas.openxmlformats.org/officeDocument/2006/relationships/ctrlProp" Target="../ctrlProps/ctrlProp124.xml"/><Relationship Id="rId44" Type="http://schemas.openxmlformats.org/officeDocument/2006/relationships/ctrlProp" Target="../ctrlProps/ctrlProp137.xml"/><Relationship Id="rId4" Type="http://schemas.openxmlformats.org/officeDocument/2006/relationships/ctrlProp" Target="../ctrlProps/ctrlProp97.xml"/><Relationship Id="rId9" Type="http://schemas.openxmlformats.org/officeDocument/2006/relationships/ctrlProp" Target="../ctrlProps/ctrlProp102.xml"/><Relationship Id="rId14" Type="http://schemas.openxmlformats.org/officeDocument/2006/relationships/ctrlProp" Target="../ctrlProps/ctrlProp107.xml"/><Relationship Id="rId22" Type="http://schemas.openxmlformats.org/officeDocument/2006/relationships/ctrlProp" Target="../ctrlProps/ctrlProp115.xml"/><Relationship Id="rId27" Type="http://schemas.openxmlformats.org/officeDocument/2006/relationships/ctrlProp" Target="../ctrlProps/ctrlProp120.xml"/><Relationship Id="rId30" Type="http://schemas.openxmlformats.org/officeDocument/2006/relationships/ctrlProp" Target="../ctrlProps/ctrlProp123.xml"/><Relationship Id="rId35" Type="http://schemas.openxmlformats.org/officeDocument/2006/relationships/ctrlProp" Target="../ctrlProps/ctrlProp128.xml"/><Relationship Id="rId43" Type="http://schemas.openxmlformats.org/officeDocument/2006/relationships/ctrlProp" Target="../ctrlProps/ctrlProp136.xml"/><Relationship Id="rId48" Type="http://schemas.openxmlformats.org/officeDocument/2006/relationships/ctrlProp" Target="../ctrlProps/ctrlProp141.xml"/><Relationship Id="rId8" Type="http://schemas.openxmlformats.org/officeDocument/2006/relationships/ctrlProp" Target="../ctrlProps/ctrlProp101.xml"/><Relationship Id="rId51" Type="http://schemas.openxmlformats.org/officeDocument/2006/relationships/ctrlProp" Target="../ctrlProps/ctrlProp14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49.xml"/><Relationship Id="rId13" Type="http://schemas.openxmlformats.org/officeDocument/2006/relationships/ctrlProp" Target="../ctrlProps/ctrlProp154.xml"/><Relationship Id="rId18" Type="http://schemas.openxmlformats.org/officeDocument/2006/relationships/ctrlProp" Target="../ctrlProps/ctrlProp159.xml"/><Relationship Id="rId26" Type="http://schemas.openxmlformats.org/officeDocument/2006/relationships/ctrlProp" Target="../ctrlProps/ctrlProp167.xml"/><Relationship Id="rId3" Type="http://schemas.openxmlformats.org/officeDocument/2006/relationships/vmlDrawing" Target="../drawings/vmlDrawing4.vml"/><Relationship Id="rId21" Type="http://schemas.openxmlformats.org/officeDocument/2006/relationships/ctrlProp" Target="../ctrlProps/ctrlProp162.xml"/><Relationship Id="rId34" Type="http://schemas.openxmlformats.org/officeDocument/2006/relationships/ctrlProp" Target="../ctrlProps/ctrlProp175.xml"/><Relationship Id="rId7" Type="http://schemas.openxmlformats.org/officeDocument/2006/relationships/ctrlProp" Target="../ctrlProps/ctrlProp148.xml"/><Relationship Id="rId12" Type="http://schemas.openxmlformats.org/officeDocument/2006/relationships/ctrlProp" Target="../ctrlProps/ctrlProp153.xml"/><Relationship Id="rId17" Type="http://schemas.openxmlformats.org/officeDocument/2006/relationships/ctrlProp" Target="../ctrlProps/ctrlProp158.xml"/><Relationship Id="rId25" Type="http://schemas.openxmlformats.org/officeDocument/2006/relationships/ctrlProp" Target="../ctrlProps/ctrlProp166.xml"/><Relationship Id="rId33" Type="http://schemas.openxmlformats.org/officeDocument/2006/relationships/ctrlProp" Target="../ctrlProps/ctrlProp174.xml"/><Relationship Id="rId2" Type="http://schemas.openxmlformats.org/officeDocument/2006/relationships/drawing" Target="../drawings/drawing4.xml"/><Relationship Id="rId16" Type="http://schemas.openxmlformats.org/officeDocument/2006/relationships/ctrlProp" Target="../ctrlProps/ctrlProp157.xml"/><Relationship Id="rId20" Type="http://schemas.openxmlformats.org/officeDocument/2006/relationships/ctrlProp" Target="../ctrlProps/ctrlProp161.xml"/><Relationship Id="rId29" Type="http://schemas.openxmlformats.org/officeDocument/2006/relationships/ctrlProp" Target="../ctrlProps/ctrlProp170.xml"/><Relationship Id="rId1" Type="http://schemas.openxmlformats.org/officeDocument/2006/relationships/printerSettings" Target="../printerSettings/printerSettings9.bin"/><Relationship Id="rId6" Type="http://schemas.openxmlformats.org/officeDocument/2006/relationships/ctrlProp" Target="../ctrlProps/ctrlProp147.xml"/><Relationship Id="rId11" Type="http://schemas.openxmlformats.org/officeDocument/2006/relationships/ctrlProp" Target="../ctrlProps/ctrlProp152.xml"/><Relationship Id="rId24" Type="http://schemas.openxmlformats.org/officeDocument/2006/relationships/ctrlProp" Target="../ctrlProps/ctrlProp165.xml"/><Relationship Id="rId32" Type="http://schemas.openxmlformats.org/officeDocument/2006/relationships/ctrlProp" Target="../ctrlProps/ctrlProp173.xml"/><Relationship Id="rId5" Type="http://schemas.openxmlformats.org/officeDocument/2006/relationships/ctrlProp" Target="../ctrlProps/ctrlProp146.xml"/><Relationship Id="rId15" Type="http://schemas.openxmlformats.org/officeDocument/2006/relationships/ctrlProp" Target="../ctrlProps/ctrlProp156.xml"/><Relationship Id="rId23" Type="http://schemas.openxmlformats.org/officeDocument/2006/relationships/ctrlProp" Target="../ctrlProps/ctrlProp164.xml"/><Relationship Id="rId28" Type="http://schemas.openxmlformats.org/officeDocument/2006/relationships/ctrlProp" Target="../ctrlProps/ctrlProp169.xml"/><Relationship Id="rId10" Type="http://schemas.openxmlformats.org/officeDocument/2006/relationships/ctrlProp" Target="../ctrlProps/ctrlProp151.xml"/><Relationship Id="rId19" Type="http://schemas.openxmlformats.org/officeDocument/2006/relationships/ctrlProp" Target="../ctrlProps/ctrlProp160.xml"/><Relationship Id="rId31" Type="http://schemas.openxmlformats.org/officeDocument/2006/relationships/ctrlProp" Target="../ctrlProps/ctrlProp172.xml"/><Relationship Id="rId4" Type="http://schemas.openxmlformats.org/officeDocument/2006/relationships/ctrlProp" Target="../ctrlProps/ctrlProp145.xml"/><Relationship Id="rId9" Type="http://schemas.openxmlformats.org/officeDocument/2006/relationships/ctrlProp" Target="../ctrlProps/ctrlProp150.xml"/><Relationship Id="rId14" Type="http://schemas.openxmlformats.org/officeDocument/2006/relationships/ctrlProp" Target="../ctrlProps/ctrlProp155.xml"/><Relationship Id="rId22" Type="http://schemas.openxmlformats.org/officeDocument/2006/relationships/ctrlProp" Target="../ctrlProps/ctrlProp163.xml"/><Relationship Id="rId27" Type="http://schemas.openxmlformats.org/officeDocument/2006/relationships/ctrlProp" Target="../ctrlProps/ctrlProp168.xml"/><Relationship Id="rId30" Type="http://schemas.openxmlformats.org/officeDocument/2006/relationships/ctrlProp" Target="../ctrlProps/ctrlProp17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2"/>
  <sheetViews>
    <sheetView workbookViewId="0">
      <selection activeCell="A4" sqref="A4:I22"/>
    </sheetView>
  </sheetViews>
  <sheetFormatPr defaultColWidth="8.88671875" defaultRowHeight="15.6"/>
  <cols>
    <col min="1" max="2" width="8.88671875" style="71"/>
    <col min="3" max="3" width="14.6640625" style="71" customWidth="1"/>
    <col min="4" max="16384" width="8.88671875" style="71"/>
  </cols>
  <sheetData>
    <row r="2" spans="1:12">
      <c r="A2" s="2" t="s">
        <v>171</v>
      </c>
    </row>
    <row r="3" spans="1:12">
      <c r="A3" s="194"/>
      <c r="B3" s="194"/>
      <c r="C3" s="194"/>
      <c r="D3" s="194"/>
      <c r="E3" s="194"/>
      <c r="F3" s="194"/>
      <c r="G3" s="194"/>
      <c r="H3" s="194"/>
      <c r="I3" s="194"/>
      <c r="J3" s="194"/>
      <c r="K3" s="194"/>
      <c r="L3" s="194"/>
    </row>
    <row r="4" spans="1:12">
      <c r="B4" s="768" t="s">
        <v>50</v>
      </c>
      <c r="C4" s="769"/>
      <c r="D4" s="770"/>
      <c r="E4" s="771"/>
      <c r="F4" s="771"/>
      <c r="G4" s="771"/>
      <c r="H4" s="771"/>
      <c r="I4" s="772"/>
    </row>
    <row r="7" spans="1:12" ht="16.2">
      <c r="A7" s="7" t="s">
        <v>51</v>
      </c>
    </row>
    <row r="8" spans="1:12">
      <c r="A8" s="7"/>
    </row>
    <row r="9" spans="1:12" ht="37.5" customHeight="1">
      <c r="B9" s="770"/>
      <c r="C9" s="771"/>
      <c r="D9" s="771"/>
      <c r="E9" s="771"/>
      <c r="F9" s="771"/>
      <c r="G9" s="771"/>
      <c r="H9" s="771"/>
      <c r="I9" s="772"/>
    </row>
    <row r="10" spans="1:12" ht="21" customHeight="1"/>
    <row r="11" spans="1:12" ht="16.2">
      <c r="A11" s="7" t="s">
        <v>52</v>
      </c>
    </row>
    <row r="12" spans="1:12" ht="37.5" customHeight="1">
      <c r="B12" s="770"/>
      <c r="C12" s="771"/>
      <c r="D12" s="771"/>
      <c r="E12" s="771"/>
      <c r="F12" s="771"/>
      <c r="G12" s="771"/>
      <c r="H12" s="771"/>
      <c r="I12" s="772"/>
    </row>
    <row r="14" spans="1:12" ht="16.2">
      <c r="A14" s="7" t="s">
        <v>53</v>
      </c>
    </row>
    <row r="15" spans="1:12" ht="36.75" customHeight="1">
      <c r="B15" s="770"/>
      <c r="C15" s="771"/>
      <c r="D15" s="771"/>
      <c r="E15" s="771"/>
      <c r="F15" s="771"/>
      <c r="G15" s="771"/>
      <c r="H15" s="771"/>
      <c r="I15" s="772"/>
    </row>
    <row r="17" spans="1:9" ht="16.2">
      <c r="A17" s="7" t="s">
        <v>90</v>
      </c>
    </row>
    <row r="18" spans="1:9" ht="30.75" customHeight="1">
      <c r="B18" s="770"/>
      <c r="C18" s="771"/>
      <c r="D18" s="771"/>
      <c r="E18" s="771"/>
      <c r="F18" s="771"/>
      <c r="G18" s="771"/>
      <c r="H18" s="771"/>
      <c r="I18" s="772"/>
    </row>
    <row r="22" spans="1:9">
      <c r="B22" s="195" t="s">
        <v>172</v>
      </c>
    </row>
  </sheetData>
  <mergeCells count="6">
    <mergeCell ref="B4:C4"/>
    <mergeCell ref="B12:I12"/>
    <mergeCell ref="B15:I15"/>
    <mergeCell ref="B18:I18"/>
    <mergeCell ref="D4:I4"/>
    <mergeCell ref="B9:I9"/>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1"/>
  <sheetViews>
    <sheetView topLeftCell="A4" workbookViewId="0">
      <selection activeCell="A5" sqref="A5:XFD5"/>
    </sheetView>
  </sheetViews>
  <sheetFormatPr defaultRowHeight="14.4"/>
  <cols>
    <col min="2" max="2" width="11" customWidth="1"/>
    <col min="3" max="3" width="10" customWidth="1"/>
    <col min="4" max="4" width="10.88671875" customWidth="1"/>
    <col min="5" max="5" width="11.44140625" customWidth="1"/>
    <col min="6" max="6" width="9.88671875" customWidth="1"/>
    <col min="7" max="7" width="10.6640625" customWidth="1"/>
    <col min="8" max="8" width="11" customWidth="1"/>
    <col min="9" max="9" width="10.109375" customWidth="1"/>
    <col min="10" max="10" width="10.88671875" customWidth="1"/>
    <col min="11" max="11" width="10.44140625" customWidth="1"/>
    <col min="12" max="12" width="25.44140625" customWidth="1"/>
    <col min="13" max="13" width="87.109375" customWidth="1"/>
    <col min="14" max="14" width="24.6640625" customWidth="1"/>
    <col min="15" max="15" width="16.44140625" customWidth="1"/>
    <col min="16" max="16" width="18.44140625" customWidth="1"/>
    <col min="17" max="17" width="16.44140625" customWidth="1"/>
    <col min="18" max="18" width="20.88671875" customWidth="1"/>
    <col min="19" max="19" width="18.109375" customWidth="1"/>
    <col min="20" max="20" width="15.33203125" customWidth="1"/>
    <col min="21" max="21" width="15.6640625" customWidth="1"/>
    <col min="22" max="22" width="10.6640625" customWidth="1"/>
    <col min="23" max="23" width="11.44140625" customWidth="1"/>
    <col min="25" max="25" width="14.88671875" hidden="1" customWidth="1"/>
  </cols>
  <sheetData>
    <row r="1" spans="1:18" ht="15">
      <c r="A1" s="2" t="s">
        <v>590</v>
      </c>
    </row>
    <row r="2" spans="1:18" ht="18">
      <c r="A2" s="118"/>
    </row>
    <row r="3" spans="1:18" ht="23.4" customHeight="1">
      <c r="A3" s="2" t="s">
        <v>591</v>
      </c>
    </row>
    <row r="4" spans="1:18" ht="10.199999999999999" customHeight="1">
      <c r="A4" s="2"/>
    </row>
    <row r="5" spans="1:18" s="71" customFormat="1" ht="15.6">
      <c r="B5" s="119" t="s">
        <v>725</v>
      </c>
      <c r="E5" s="811" t="s">
        <v>640</v>
      </c>
      <c r="F5" s="811"/>
      <c r="G5" s="811"/>
      <c r="H5" s="811"/>
      <c r="I5" s="811"/>
    </row>
    <row r="7" spans="1:18" ht="36.6" customHeight="1">
      <c r="B7" s="779" t="s">
        <v>5</v>
      </c>
      <c r="C7" s="779"/>
      <c r="D7" s="775" t="s">
        <v>124</v>
      </c>
      <c r="E7" s="775"/>
      <c r="F7" s="824" t="s">
        <v>123</v>
      </c>
      <c r="G7" s="824"/>
      <c r="H7" s="824"/>
      <c r="I7" s="824" t="s">
        <v>592</v>
      </c>
      <c r="J7" s="824"/>
      <c r="K7" s="824"/>
      <c r="L7" s="773" t="s">
        <v>593</v>
      </c>
      <c r="M7" s="773" t="s">
        <v>594</v>
      </c>
      <c r="N7" s="773" t="s">
        <v>595</v>
      </c>
      <c r="O7" s="773" t="s">
        <v>596</v>
      </c>
      <c r="P7" s="775" t="s">
        <v>122</v>
      </c>
      <c r="Q7" s="775" t="s">
        <v>121</v>
      </c>
      <c r="R7" s="775" t="s">
        <v>597</v>
      </c>
    </row>
    <row r="8" spans="1:18">
      <c r="B8" s="354" t="s">
        <v>1</v>
      </c>
      <c r="C8" s="354" t="s">
        <v>20</v>
      </c>
      <c r="D8" s="353" t="s">
        <v>120</v>
      </c>
      <c r="E8" s="354" t="s">
        <v>20</v>
      </c>
      <c r="F8" s="147">
        <v>2027</v>
      </c>
      <c r="G8" s="147" t="s">
        <v>72</v>
      </c>
      <c r="H8" s="147" t="s">
        <v>97</v>
      </c>
      <c r="I8" s="147" t="s">
        <v>54</v>
      </c>
      <c r="J8" s="147" t="s">
        <v>72</v>
      </c>
      <c r="K8" s="147">
        <v>2029</v>
      </c>
      <c r="L8" s="774"/>
      <c r="M8" s="774"/>
      <c r="N8" s="774"/>
      <c r="O8" s="774"/>
      <c r="P8" s="775"/>
      <c r="Q8" s="775"/>
      <c r="R8" s="775"/>
    </row>
    <row r="9" spans="1:18" ht="409.6">
      <c r="B9" s="355">
        <v>1016</v>
      </c>
      <c r="C9" s="355">
        <v>11004</v>
      </c>
      <c r="D9" s="355" t="s">
        <v>625</v>
      </c>
      <c r="E9" s="355" t="s">
        <v>626</v>
      </c>
      <c r="F9" s="362">
        <v>171000</v>
      </c>
      <c r="G9" s="362">
        <v>171000</v>
      </c>
      <c r="H9" s="362">
        <v>114000</v>
      </c>
      <c r="I9" s="362">
        <v>171000</v>
      </c>
      <c r="J9" s="362">
        <v>171000</v>
      </c>
      <c r="K9" s="362">
        <v>114000</v>
      </c>
      <c r="L9" s="360" t="s">
        <v>627</v>
      </c>
      <c r="M9" s="360" t="s">
        <v>628</v>
      </c>
      <c r="N9" s="360" t="s">
        <v>629</v>
      </c>
      <c r="O9" s="355" t="s">
        <v>129</v>
      </c>
      <c r="P9" s="355">
        <v>2027</v>
      </c>
      <c r="Q9" s="355" t="s">
        <v>630</v>
      </c>
      <c r="R9" s="355" t="s">
        <v>130</v>
      </c>
    </row>
    <row r="10" spans="1:18" ht="22.5" customHeight="1">
      <c r="B10" s="355"/>
      <c r="C10" s="355"/>
      <c r="D10" s="355"/>
      <c r="E10" s="355"/>
      <c r="F10" s="363"/>
      <c r="G10" s="363"/>
      <c r="H10" s="363"/>
      <c r="I10" s="363"/>
      <c r="J10" s="363"/>
      <c r="K10" s="363"/>
      <c r="L10" s="355"/>
      <c r="M10" s="355"/>
      <c r="N10" s="355"/>
      <c r="O10" s="355"/>
      <c r="P10" s="355"/>
      <c r="Q10" s="355"/>
      <c r="R10" s="355"/>
    </row>
    <row r="11" spans="1:18">
      <c r="B11" s="355"/>
      <c r="C11" s="355"/>
      <c r="D11" s="355"/>
      <c r="E11" s="355"/>
      <c r="F11" s="363"/>
      <c r="G11" s="363"/>
      <c r="H11" s="363"/>
      <c r="I11" s="363"/>
      <c r="J11" s="363"/>
      <c r="K11" s="363"/>
      <c r="L11" s="355"/>
      <c r="M11" s="355"/>
      <c r="N11" s="355"/>
      <c r="O11" s="355"/>
      <c r="P11" s="355"/>
      <c r="Q11" s="355"/>
      <c r="R11" s="355"/>
    </row>
    <row r="12" spans="1:18">
      <c r="B12" s="70"/>
      <c r="C12" s="70"/>
      <c r="D12" s="70"/>
      <c r="E12" s="70"/>
      <c r="F12" s="364"/>
      <c r="G12" s="364"/>
      <c r="H12" s="364"/>
      <c r="I12" s="364"/>
      <c r="J12" s="364"/>
      <c r="K12" s="364"/>
      <c r="L12" s="70"/>
      <c r="M12" s="70"/>
      <c r="N12" s="70"/>
      <c r="O12" s="70"/>
      <c r="P12" s="356"/>
      <c r="Q12" s="356"/>
      <c r="R12" s="70"/>
    </row>
    <row r="13" spans="1:18">
      <c r="B13" s="776" t="s">
        <v>9</v>
      </c>
      <c r="C13" s="777"/>
      <c r="D13" s="777"/>
      <c r="E13" s="778"/>
      <c r="F13" s="365">
        <f t="shared" ref="F13:K13" si="0">SUM(F9:F12)</f>
        <v>171000</v>
      </c>
      <c r="G13" s="365">
        <f t="shared" si="0"/>
        <v>171000</v>
      </c>
      <c r="H13" s="365">
        <f t="shared" si="0"/>
        <v>114000</v>
      </c>
      <c r="I13" s="365">
        <f t="shared" si="0"/>
        <v>171000</v>
      </c>
      <c r="J13" s="365">
        <f t="shared" si="0"/>
        <v>171000</v>
      </c>
      <c r="K13" s="365">
        <f t="shared" si="0"/>
        <v>114000</v>
      </c>
      <c r="L13" s="117" t="s">
        <v>39</v>
      </c>
      <c r="M13" s="117" t="s">
        <v>39</v>
      </c>
      <c r="N13" s="117" t="s">
        <v>39</v>
      </c>
      <c r="O13" s="117" t="s">
        <v>39</v>
      </c>
      <c r="P13" s="117" t="s">
        <v>39</v>
      </c>
      <c r="Q13" s="117" t="s">
        <v>39</v>
      </c>
      <c r="R13" s="117" t="s">
        <v>39</v>
      </c>
    </row>
    <row r="15" spans="1:18" ht="26.25" customHeight="1"/>
    <row r="16" spans="1:18" ht="14.4" hidden="1" customHeight="1"/>
    <row r="21" spans="16:16">
      <c r="P21" t="s">
        <v>588</v>
      </c>
    </row>
  </sheetData>
  <mergeCells count="13">
    <mergeCell ref="E5:I5"/>
    <mergeCell ref="L7:L8"/>
    <mergeCell ref="M7:M8"/>
    <mergeCell ref="B13:E13"/>
    <mergeCell ref="B7:C7"/>
    <mergeCell ref="D7:E7"/>
    <mergeCell ref="F7:H7"/>
    <mergeCell ref="I7:K7"/>
    <mergeCell ref="N7:N8"/>
    <mergeCell ref="O7:O8"/>
    <mergeCell ref="P7:P8"/>
    <mergeCell ref="Q7:Q8"/>
    <mergeCell ref="R7:R8"/>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02"/>
  <sheetViews>
    <sheetView topLeftCell="A79" workbookViewId="0">
      <selection sqref="A1:XFD1048576"/>
    </sheetView>
  </sheetViews>
  <sheetFormatPr defaultColWidth="9.109375" defaultRowHeight="15"/>
  <cols>
    <col min="2" max="2" width="62.44140625" style="146" customWidth="1"/>
    <col min="3" max="3" width="58.88671875" bestFit="1" customWidth="1"/>
    <col min="4" max="4" width="45.109375" customWidth="1"/>
    <col min="5" max="5" width="80.109375" customWidth="1"/>
    <col min="6" max="6" width="15.6640625" customWidth="1"/>
    <col min="7" max="7" width="28.33203125" customWidth="1"/>
    <col min="8" max="8" width="4" hidden="1" customWidth="1"/>
    <col min="9" max="10" width="7.88671875" hidden="1" customWidth="1"/>
  </cols>
  <sheetData>
    <row r="1" spans="1:10" ht="18.600000000000001">
      <c r="A1" s="2" t="s">
        <v>739</v>
      </c>
      <c r="B1"/>
      <c r="C1" s="474"/>
      <c r="D1" s="474"/>
      <c r="E1" s="17"/>
      <c r="F1" s="17"/>
      <c r="H1" s="17" t="s">
        <v>125</v>
      </c>
      <c r="I1" s="17" t="s">
        <v>126</v>
      </c>
      <c r="J1" t="s">
        <v>127</v>
      </c>
    </row>
    <row r="2" spans="1:10" ht="18">
      <c r="A2" s="122"/>
      <c r="B2" s="118"/>
      <c r="C2" s="474"/>
      <c r="D2" s="474"/>
      <c r="E2" s="17"/>
      <c r="F2" s="17"/>
      <c r="H2" s="17" t="s">
        <v>128</v>
      </c>
      <c r="I2" t="s">
        <v>129</v>
      </c>
      <c r="J2" s="124" t="s">
        <v>130</v>
      </c>
    </row>
    <row r="3" spans="1:10" ht="18">
      <c r="A3" s="119" t="s">
        <v>131</v>
      </c>
      <c r="B3" s="118"/>
      <c r="C3" s="474" t="s">
        <v>792</v>
      </c>
      <c r="D3" s="474"/>
      <c r="E3" s="17"/>
      <c r="F3" s="17"/>
      <c r="H3" s="17" t="s">
        <v>132</v>
      </c>
      <c r="I3" t="s">
        <v>133</v>
      </c>
      <c r="J3" s="124" t="s">
        <v>134</v>
      </c>
    </row>
    <row r="4" spans="1:10" ht="18">
      <c r="A4" s="122"/>
      <c r="B4" s="118"/>
      <c r="C4" s="474"/>
      <c r="D4" s="474"/>
      <c r="E4" s="17"/>
      <c r="F4" s="17"/>
      <c r="H4" s="17" t="s">
        <v>135</v>
      </c>
      <c r="J4" s="124" t="s">
        <v>136</v>
      </c>
    </row>
    <row r="5" spans="1:10" ht="18">
      <c r="A5" s="122"/>
      <c r="B5" s="125" t="s">
        <v>741</v>
      </c>
      <c r="C5" s="126" t="s">
        <v>793</v>
      </c>
      <c r="D5" s="474"/>
      <c r="E5" s="17"/>
      <c r="F5" s="17"/>
      <c r="G5" s="17"/>
    </row>
    <row r="6" spans="1:10" ht="62.4" customHeight="1">
      <c r="A6" s="122"/>
      <c r="B6" s="125" t="s">
        <v>743</v>
      </c>
      <c r="C6" s="475"/>
      <c r="D6" s="474" t="s">
        <v>794</v>
      </c>
      <c r="E6" s="17"/>
      <c r="F6" s="17"/>
      <c r="G6" s="17"/>
    </row>
    <row r="7" spans="1:10" ht="18">
      <c r="A7" s="122"/>
      <c r="B7" s="118"/>
      <c r="C7" s="474"/>
      <c r="D7" s="474"/>
      <c r="E7" s="17"/>
      <c r="F7" s="17"/>
      <c r="G7" s="17"/>
    </row>
    <row r="8" spans="1:10" ht="18">
      <c r="A8" s="119" t="s">
        <v>137</v>
      </c>
      <c r="B8" s="118"/>
      <c r="C8" s="474"/>
      <c r="D8" s="474"/>
      <c r="E8" s="17"/>
      <c r="F8" s="17"/>
      <c r="G8" s="17"/>
    </row>
    <row r="9" spans="1:10" ht="18">
      <c r="A9" s="119"/>
      <c r="B9" s="118"/>
      <c r="C9" s="474"/>
      <c r="D9" s="474"/>
      <c r="E9" s="17"/>
      <c r="F9" s="17"/>
      <c r="G9" s="17"/>
    </row>
    <row r="10" spans="1:10" ht="18">
      <c r="A10" s="119"/>
      <c r="B10" s="125" t="s">
        <v>745</v>
      </c>
      <c r="C10" s="126" t="s">
        <v>625</v>
      </c>
      <c r="G10" s="17"/>
    </row>
    <row r="11" spans="1:10" ht="18">
      <c r="A11" s="119"/>
      <c r="B11" s="125" t="s">
        <v>746</v>
      </c>
      <c r="C11" s="126">
        <v>1016</v>
      </c>
      <c r="D11" s="474"/>
      <c r="G11" s="17"/>
    </row>
    <row r="12" spans="1:10" ht="18">
      <c r="A12" s="119"/>
      <c r="B12" s="127"/>
      <c r="C12" s="128"/>
      <c r="D12" s="474"/>
      <c r="E12" s="17"/>
      <c r="F12" s="17"/>
      <c r="G12" s="17"/>
    </row>
    <row r="13" spans="1:10" ht="18">
      <c r="A13" s="119"/>
      <c r="B13" s="125" t="s">
        <v>138</v>
      </c>
      <c r="C13" s="126">
        <v>2027</v>
      </c>
      <c r="D13" s="474"/>
      <c r="E13" s="17"/>
      <c r="F13" s="17"/>
      <c r="G13" s="17"/>
    </row>
    <row r="14" spans="1:10" ht="18">
      <c r="A14" s="119"/>
      <c r="B14" s="125" t="s">
        <v>748</v>
      </c>
      <c r="C14" s="126" t="s">
        <v>630</v>
      </c>
      <c r="D14" s="474"/>
      <c r="E14" s="17"/>
      <c r="F14" s="17"/>
      <c r="G14" s="17"/>
    </row>
    <row r="15" spans="1:10" ht="18">
      <c r="A15" s="119"/>
      <c r="B15" s="118"/>
      <c r="C15" s="115"/>
      <c r="D15" s="474"/>
      <c r="E15" s="17"/>
      <c r="F15" s="17"/>
      <c r="G15" s="17"/>
    </row>
    <row r="16" spans="1:10" ht="18">
      <c r="A16" s="119" t="s">
        <v>139</v>
      </c>
      <c r="B16" s="118"/>
      <c r="C16" s="115"/>
      <c r="D16" s="474"/>
      <c r="E16" s="17"/>
      <c r="F16" s="17"/>
      <c r="G16" s="17"/>
    </row>
    <row r="17" spans="1:10" ht="26.4">
      <c r="B17" s="125" t="s">
        <v>749</v>
      </c>
      <c r="C17" s="475" t="s">
        <v>795</v>
      </c>
      <c r="D17" s="474"/>
      <c r="E17" s="17"/>
      <c r="F17" s="17"/>
      <c r="G17" s="17"/>
    </row>
    <row r="18" spans="1:10" ht="18">
      <c r="A18" s="119"/>
      <c r="B18" s="125" t="s">
        <v>750</v>
      </c>
      <c r="C18" s="498">
        <v>11004</v>
      </c>
      <c r="D18" s="474"/>
      <c r="E18" s="17"/>
      <c r="F18" s="17"/>
      <c r="G18" s="17"/>
    </row>
    <row r="19" spans="1:10" ht="18">
      <c r="A19" s="119"/>
      <c r="B19" s="474"/>
      <c r="C19" s="474"/>
      <c r="D19" s="474"/>
      <c r="E19" s="17"/>
      <c r="F19" s="17"/>
      <c r="G19" s="17"/>
    </row>
    <row r="20" spans="1:10" ht="26.25" customHeight="1">
      <c r="A20" s="119"/>
      <c r="B20" s="125" t="s">
        <v>751</v>
      </c>
      <c r="C20" s="129" t="s">
        <v>128</v>
      </c>
      <c r="F20" s="17"/>
      <c r="G20" s="17"/>
    </row>
    <row r="21" spans="1:10" ht="18">
      <c r="A21" s="119"/>
      <c r="B21"/>
      <c r="C21" s="130"/>
      <c r="F21" s="17"/>
      <c r="G21" s="17"/>
    </row>
    <row r="22" spans="1:10" ht="18">
      <c r="A22" s="119"/>
      <c r="B22" s="118"/>
      <c r="C22" s="115"/>
      <c r="D22" s="474"/>
      <c r="E22" s="17"/>
      <c r="F22" s="17"/>
      <c r="G22" s="17"/>
    </row>
    <row r="23" spans="1:10" ht="18">
      <c r="A23" s="119"/>
      <c r="B23" s="125" t="s">
        <v>752</v>
      </c>
      <c r="C23" s="129" t="s">
        <v>129</v>
      </c>
      <c r="F23" s="17"/>
      <c r="G23" s="17"/>
    </row>
    <row r="24" spans="1:10" ht="18">
      <c r="A24" s="119"/>
      <c r="B24"/>
      <c r="C24" s="130"/>
      <c r="D24" s="474"/>
      <c r="E24" s="17"/>
      <c r="F24" s="17"/>
      <c r="G24" s="17"/>
    </row>
    <row r="25" spans="1:10" ht="18">
      <c r="A25" s="119"/>
      <c r="B25" s="118"/>
      <c r="C25" s="115"/>
      <c r="D25" s="474"/>
      <c r="E25" s="17"/>
      <c r="F25" s="17"/>
      <c r="G25" s="17"/>
    </row>
    <row r="26" spans="1:10" ht="15.75" customHeight="1">
      <c r="A26" s="119" t="s">
        <v>140</v>
      </c>
      <c r="B26"/>
      <c r="C26" s="118"/>
      <c r="D26" s="118"/>
      <c r="E26" s="118"/>
      <c r="F26" s="118"/>
      <c r="G26" s="118"/>
      <c r="H26" s="118"/>
      <c r="I26" s="118"/>
      <c r="J26" s="118"/>
    </row>
    <row r="27" spans="1:10" ht="18">
      <c r="B27" s="118"/>
      <c r="C27" s="118"/>
      <c r="D27" s="118"/>
      <c r="E27" s="118"/>
      <c r="F27" s="118"/>
      <c r="G27" s="118"/>
      <c r="H27" s="118"/>
      <c r="I27" s="118"/>
      <c r="J27" s="118"/>
    </row>
    <row r="28" spans="1:10" ht="40.200000000000003">
      <c r="B28" s="131" t="s">
        <v>753</v>
      </c>
      <c r="C28" s="131" t="s">
        <v>754</v>
      </c>
      <c r="D28" s="131" t="s">
        <v>755</v>
      </c>
      <c r="E28" s="131" t="s">
        <v>756</v>
      </c>
      <c r="F28" s="118"/>
      <c r="G28" s="118"/>
      <c r="H28" s="118"/>
      <c r="I28" s="118"/>
      <c r="J28" s="118"/>
    </row>
    <row r="29" spans="1:10" ht="409.6">
      <c r="B29" s="499" t="s">
        <v>130</v>
      </c>
      <c r="C29" s="500" t="s">
        <v>796</v>
      </c>
      <c r="D29" s="500" t="s">
        <v>758</v>
      </c>
      <c r="E29" s="500" t="s">
        <v>797</v>
      </c>
      <c r="F29" s="71"/>
      <c r="G29" s="118"/>
      <c r="H29" s="118"/>
      <c r="I29" s="118"/>
      <c r="J29" s="71"/>
    </row>
    <row r="30" spans="1:10" ht="18">
      <c r="A30" s="119"/>
      <c r="B30" s="118"/>
      <c r="C30" s="115"/>
      <c r="D30" s="474"/>
      <c r="E30" s="17"/>
      <c r="F30" s="17"/>
      <c r="G30" s="17"/>
    </row>
    <row r="31" spans="1:10" s="479" customFormat="1" ht="20.25" customHeight="1">
      <c r="A31" s="119" t="s">
        <v>141</v>
      </c>
    </row>
    <row r="32" spans="1:10" s="479" customFormat="1" ht="15" customHeight="1"/>
    <row r="33" spans="1:5" s="479" customFormat="1" ht="105.6">
      <c r="B33" s="125" t="s">
        <v>760</v>
      </c>
      <c r="C33" s="501" t="s">
        <v>627</v>
      </c>
    </row>
    <row r="34" spans="1:5" s="479" customFormat="1" ht="17.25" customHeight="1"/>
    <row r="35" spans="1:5" s="479" customFormat="1" ht="16.5" customHeight="1">
      <c r="B35" s="789" t="s">
        <v>762</v>
      </c>
      <c r="C35" s="481" t="s">
        <v>763</v>
      </c>
    </row>
    <row r="36" spans="1:5" s="479" customFormat="1" ht="15" customHeight="1">
      <c r="B36" s="790"/>
    </row>
    <row r="37" spans="1:5" s="479" customFormat="1" ht="15" customHeight="1">
      <c r="B37" s="790"/>
    </row>
    <row r="38" spans="1:5" s="479" customFormat="1" ht="15" customHeight="1">
      <c r="B38" s="791"/>
      <c r="C38" s="482"/>
    </row>
    <row r="39" spans="1:5" s="479" customFormat="1" ht="15" customHeight="1"/>
    <row r="40" spans="1:5" s="479" customFormat="1" ht="13.5" customHeight="1">
      <c r="B40" s="789" t="s">
        <v>764</v>
      </c>
    </row>
    <row r="41" spans="1:5" s="479" customFormat="1">
      <c r="B41" s="790"/>
    </row>
    <row r="42" spans="1:5" s="479" customFormat="1">
      <c r="B42" s="791"/>
    </row>
    <row r="43" spans="1:5" s="479" customFormat="1"/>
    <row r="44" spans="1:5" s="479" customFormat="1"/>
    <row r="45" spans="1:5" s="479" customFormat="1" ht="16.2">
      <c r="A45" s="119" t="s">
        <v>765</v>
      </c>
    </row>
    <row r="46" spans="1:5" s="479" customFormat="1"/>
    <row r="47" spans="1:5" s="479" customFormat="1" ht="310.5" customHeight="1">
      <c r="B47" s="825" t="s">
        <v>798</v>
      </c>
      <c r="C47" s="825"/>
      <c r="D47" s="825"/>
      <c r="E47" s="502"/>
    </row>
    <row r="48" spans="1:5" s="479" customFormat="1" ht="15" customHeight="1"/>
    <row r="49" spans="1:7" s="479" customFormat="1" ht="15" customHeight="1">
      <c r="A49" s="119" t="s">
        <v>766</v>
      </c>
    </row>
    <row r="50" spans="1:7" s="479" customFormat="1" ht="15" customHeight="1"/>
    <row r="51" spans="1:7" s="479" customFormat="1" ht="277.2">
      <c r="B51" s="503" t="s">
        <v>628</v>
      </c>
      <c r="C51" s="502"/>
      <c r="D51" s="502"/>
      <c r="E51" s="502"/>
    </row>
    <row r="52" spans="1:7" s="479" customFormat="1" ht="15" customHeight="1"/>
    <row r="53" spans="1:7" s="479" customFormat="1" ht="15" customHeight="1">
      <c r="A53" s="119" t="s">
        <v>767</v>
      </c>
    </row>
    <row r="54" spans="1:7" s="479" customFormat="1" ht="15" customHeight="1"/>
    <row r="55" spans="1:7" s="479" customFormat="1" ht="167.25" customHeight="1">
      <c r="B55" s="503" t="s">
        <v>629</v>
      </c>
      <c r="C55" s="502"/>
      <c r="D55" s="502"/>
      <c r="E55" s="502"/>
    </row>
    <row r="56" spans="1:7" s="479" customFormat="1"/>
    <row r="57" spans="1:7" s="479" customFormat="1">
      <c r="A57" s="119" t="s">
        <v>142</v>
      </c>
    </row>
    <row r="58" spans="1:7" s="479" customFormat="1"/>
    <row r="59" spans="1:7" s="479" customFormat="1" ht="15" customHeight="1">
      <c r="B59" s="786" t="s">
        <v>769</v>
      </c>
      <c r="C59" s="786" t="s">
        <v>143</v>
      </c>
      <c r="D59" s="786" t="s">
        <v>799</v>
      </c>
      <c r="E59" s="786" t="s">
        <v>75</v>
      </c>
      <c r="F59" s="786" t="s">
        <v>800</v>
      </c>
      <c r="G59" s="470" t="s">
        <v>770</v>
      </c>
    </row>
    <row r="60" spans="1:7" s="479" customFormat="1">
      <c r="B60" s="787"/>
      <c r="C60" s="787"/>
      <c r="D60" s="787"/>
      <c r="E60" s="787"/>
      <c r="F60" s="787"/>
      <c r="G60" s="470" t="str">
        <f>C14</f>
        <v>2029, շարունակական</v>
      </c>
    </row>
    <row r="61" spans="1:7" ht="45">
      <c r="B61" s="135" t="s">
        <v>801</v>
      </c>
      <c r="C61" s="136" t="s">
        <v>772</v>
      </c>
      <c r="D61" s="136">
        <v>1</v>
      </c>
      <c r="E61" s="136">
        <v>2</v>
      </c>
      <c r="F61" s="137">
        <v>1</v>
      </c>
      <c r="G61" s="504" t="s">
        <v>630</v>
      </c>
    </row>
    <row r="62" spans="1:7" ht="45">
      <c r="B62" s="135" t="s">
        <v>802</v>
      </c>
      <c r="C62" s="136" t="s">
        <v>775</v>
      </c>
      <c r="D62" s="136">
        <v>20</v>
      </c>
      <c r="E62" s="136">
        <v>40</v>
      </c>
      <c r="F62" s="137">
        <v>60</v>
      </c>
      <c r="G62" s="504"/>
    </row>
    <row r="63" spans="1:7">
      <c r="B63" s="135"/>
      <c r="C63" s="136"/>
      <c r="D63" s="136"/>
      <c r="E63" s="136"/>
      <c r="F63" s="137"/>
      <c r="G63" s="504"/>
    </row>
    <row r="64" spans="1:7">
      <c r="A64" t="s">
        <v>803</v>
      </c>
      <c r="B64" s="135"/>
      <c r="C64" s="136"/>
      <c r="D64" s="136"/>
      <c r="E64" s="136"/>
      <c r="F64" s="137"/>
      <c r="G64" s="504"/>
    </row>
    <row r="65" spans="1:7">
      <c r="B65" s="136"/>
      <c r="C65" s="136"/>
      <c r="D65" s="136"/>
      <c r="E65" s="136"/>
      <c r="F65" s="136"/>
      <c r="G65" s="504"/>
    </row>
    <row r="66" spans="1:7">
      <c r="B66" s="479"/>
    </row>
    <row r="67" spans="1:7">
      <c r="A67" s="119" t="s">
        <v>144</v>
      </c>
      <c r="B67" s="479"/>
    </row>
    <row r="68" spans="1:7">
      <c r="B68" s="479"/>
    </row>
    <row r="69" spans="1:7" ht="14.4">
      <c r="B69" s="786" t="s">
        <v>776</v>
      </c>
      <c r="C69" s="786" t="s">
        <v>804</v>
      </c>
      <c r="D69" s="786" t="s">
        <v>799</v>
      </c>
      <c r="E69" s="786" t="s">
        <v>75</v>
      </c>
      <c r="F69" s="786" t="s">
        <v>800</v>
      </c>
      <c r="G69" s="470" t="s">
        <v>146</v>
      </c>
    </row>
    <row r="70" spans="1:7" ht="14.4">
      <c r="B70" s="787"/>
      <c r="C70" s="787"/>
      <c r="D70" s="787"/>
      <c r="E70" s="787"/>
      <c r="F70" s="787"/>
      <c r="G70" s="470" t="str">
        <f>C14</f>
        <v>2029, շարունակական</v>
      </c>
    </row>
    <row r="71" spans="1:7" ht="35.4" customHeight="1">
      <c r="B71" s="487" t="s">
        <v>805</v>
      </c>
      <c r="C71" s="489" t="s">
        <v>10</v>
      </c>
      <c r="D71" s="505">
        <v>130000</v>
      </c>
      <c r="E71" s="506">
        <v>0</v>
      </c>
      <c r="F71" s="506">
        <v>0</v>
      </c>
      <c r="G71" s="473"/>
    </row>
    <row r="72" spans="1:7" ht="30">
      <c r="B72" s="487" t="s">
        <v>806</v>
      </c>
      <c r="C72" s="489" t="s">
        <v>10</v>
      </c>
      <c r="D72" s="505">
        <v>0</v>
      </c>
      <c r="E72" s="506">
        <v>30000</v>
      </c>
      <c r="F72" s="506">
        <v>0</v>
      </c>
      <c r="G72" s="473"/>
    </row>
    <row r="73" spans="1:7" ht="30">
      <c r="B73" s="487" t="s">
        <v>807</v>
      </c>
      <c r="C73" s="489" t="s">
        <v>10</v>
      </c>
      <c r="D73" s="505">
        <v>0</v>
      </c>
      <c r="E73" s="506">
        <v>0</v>
      </c>
      <c r="F73" s="506">
        <v>30000</v>
      </c>
      <c r="G73" s="473"/>
    </row>
    <row r="74" spans="1:7" ht="30">
      <c r="B74" s="487" t="s">
        <v>808</v>
      </c>
      <c r="C74" s="489" t="s">
        <v>10</v>
      </c>
      <c r="D74" s="505">
        <v>0</v>
      </c>
      <c r="E74" s="506">
        <v>70000</v>
      </c>
      <c r="F74" s="506">
        <v>3000</v>
      </c>
      <c r="G74" s="473"/>
    </row>
    <row r="75" spans="1:7" ht="30">
      <c r="B75" s="487" t="s">
        <v>809</v>
      </c>
      <c r="C75" s="489" t="s">
        <v>10</v>
      </c>
      <c r="D75" s="506">
        <v>10000</v>
      </c>
      <c r="E75" s="506">
        <v>20000</v>
      </c>
      <c r="F75" s="506">
        <v>20000</v>
      </c>
      <c r="G75" s="473"/>
    </row>
    <row r="76" spans="1:7">
      <c r="B76" s="487" t="s">
        <v>810</v>
      </c>
      <c r="C76" s="489" t="s">
        <v>10</v>
      </c>
      <c r="D76" s="506">
        <v>30000</v>
      </c>
      <c r="E76" s="506">
        <v>50000</v>
      </c>
      <c r="F76" s="506">
        <v>60000</v>
      </c>
      <c r="G76" s="473"/>
    </row>
    <row r="77" spans="1:7">
      <c r="B77" s="136" t="s">
        <v>784</v>
      </c>
      <c r="C77" s="489"/>
      <c r="D77" s="507">
        <v>1000</v>
      </c>
      <c r="E77" s="507">
        <v>1000</v>
      </c>
      <c r="F77" s="507">
        <v>1000</v>
      </c>
      <c r="G77" s="473"/>
    </row>
    <row r="78" spans="1:7" ht="14.4">
      <c r="B78" s="142" t="s">
        <v>9</v>
      </c>
      <c r="C78" s="142" t="s">
        <v>10</v>
      </c>
      <c r="D78" s="508">
        <f>SUM(D71:D77)</f>
        <v>171000</v>
      </c>
      <c r="E78" s="508">
        <f>SUM(E71:E77)</f>
        <v>171000</v>
      </c>
      <c r="F78" s="509">
        <f>SUM(F71:F77)</f>
        <v>114000</v>
      </c>
      <c r="G78" s="142">
        <f>SUM(G71:G77)</f>
        <v>0</v>
      </c>
    </row>
    <row r="79" spans="1:7" ht="14.4">
      <c r="B79"/>
      <c r="D79" s="472"/>
      <c r="E79" s="472"/>
      <c r="F79" s="472"/>
    </row>
    <row r="80" spans="1:7">
      <c r="A80" s="119" t="s">
        <v>147</v>
      </c>
      <c r="B80"/>
      <c r="D80" s="472"/>
      <c r="E80" s="472"/>
      <c r="F80" s="472"/>
    </row>
    <row r="81" spans="1:7" ht="14.4">
      <c r="B81"/>
      <c r="D81" s="472"/>
      <c r="E81" s="472"/>
      <c r="F81" s="472"/>
    </row>
    <row r="82" spans="1:7" ht="14.4">
      <c r="B82" s="786" t="s">
        <v>785</v>
      </c>
      <c r="C82" s="786" t="s">
        <v>777</v>
      </c>
      <c r="D82" s="786" t="s">
        <v>799</v>
      </c>
      <c r="E82" s="786" t="s">
        <v>72</v>
      </c>
      <c r="F82" s="786" t="s">
        <v>800</v>
      </c>
      <c r="G82" s="470" t="s">
        <v>146</v>
      </c>
    </row>
    <row r="83" spans="1:7" ht="14.4">
      <c r="B83" s="787"/>
      <c r="C83" s="787"/>
      <c r="D83" s="787"/>
      <c r="E83" s="787"/>
      <c r="F83" s="787"/>
      <c r="G83" s="470" t="str">
        <f>C14</f>
        <v>2029, շարունակական</v>
      </c>
    </row>
    <row r="84" spans="1:7">
      <c r="B84" s="469" t="s">
        <v>148</v>
      </c>
      <c r="C84" s="143" t="s">
        <v>10</v>
      </c>
      <c r="D84" s="509">
        <f>D78</f>
        <v>171000</v>
      </c>
      <c r="E84" s="509">
        <f>E78</f>
        <v>171000</v>
      </c>
      <c r="F84" s="509">
        <f>F78</f>
        <v>114000</v>
      </c>
      <c r="G84" s="142">
        <f>G78</f>
        <v>0</v>
      </c>
    </row>
    <row r="85" spans="1:7">
      <c r="B85" s="144" t="s">
        <v>149</v>
      </c>
      <c r="C85" s="143" t="s">
        <v>10</v>
      </c>
      <c r="D85" s="510">
        <f>D78</f>
        <v>171000</v>
      </c>
      <c r="E85" s="510">
        <f>E78</f>
        <v>171000</v>
      </c>
      <c r="F85" s="510">
        <f>F78</f>
        <v>114000</v>
      </c>
      <c r="G85" s="483"/>
    </row>
    <row r="86" spans="1:7" ht="15" customHeight="1">
      <c r="B86" s="145" t="s">
        <v>150</v>
      </c>
      <c r="C86" s="143" t="s">
        <v>10</v>
      </c>
      <c r="D86" s="510"/>
      <c r="E86" s="510"/>
      <c r="F86" s="511"/>
      <c r="G86" s="483"/>
    </row>
    <row r="87" spans="1:7">
      <c r="B87" s="144" t="s">
        <v>151</v>
      </c>
      <c r="C87" s="143" t="s">
        <v>10</v>
      </c>
      <c r="D87" s="509">
        <f>SUM(D88:D89)</f>
        <v>0</v>
      </c>
      <c r="E87" s="509">
        <f t="shared" ref="E87:G87" si="0">SUM(E88:E89)</f>
        <v>0</v>
      </c>
      <c r="F87" s="509">
        <f t="shared" si="0"/>
        <v>0</v>
      </c>
      <c r="G87" s="142">
        <f t="shared" si="0"/>
        <v>0</v>
      </c>
    </row>
    <row r="88" spans="1:7">
      <c r="B88" s="136"/>
      <c r="C88" s="143" t="s">
        <v>10</v>
      </c>
      <c r="D88" s="510"/>
      <c r="E88" s="510"/>
      <c r="F88" s="511"/>
      <c r="G88" s="483"/>
    </row>
    <row r="89" spans="1:7">
      <c r="B89" s="136"/>
      <c r="C89" s="143" t="s">
        <v>10</v>
      </c>
      <c r="D89" s="510"/>
      <c r="E89" s="510"/>
      <c r="F89" s="511"/>
      <c r="G89" s="483"/>
    </row>
    <row r="90" spans="1:7" ht="15.75" customHeight="1">
      <c r="B90" s="469" t="s">
        <v>152</v>
      </c>
      <c r="C90" s="143" t="s">
        <v>10</v>
      </c>
      <c r="D90" s="509">
        <f>D84-D87-D86</f>
        <v>171000</v>
      </c>
      <c r="E90" s="509">
        <f t="shared" ref="E90:G90" si="1">E84-E87-E86</f>
        <v>171000</v>
      </c>
      <c r="F90" s="509">
        <f t="shared" si="1"/>
        <v>114000</v>
      </c>
      <c r="G90" s="142">
        <f t="shared" si="1"/>
        <v>0</v>
      </c>
    </row>
    <row r="91" spans="1:7" ht="14.4">
      <c r="B91"/>
      <c r="D91" s="512"/>
      <c r="E91" s="512"/>
      <c r="F91" s="512"/>
    </row>
    <row r="92" spans="1:7" ht="19.5" customHeight="1">
      <c r="A92" s="119" t="s">
        <v>185</v>
      </c>
      <c r="B92"/>
    </row>
    <row r="93" spans="1:7" ht="21" customHeight="1">
      <c r="B93"/>
    </row>
    <row r="94" spans="1:7" ht="16.2">
      <c r="B94" s="469" t="s">
        <v>786</v>
      </c>
      <c r="C94" s="783"/>
      <c r="D94" s="784"/>
      <c r="E94" s="785"/>
    </row>
    <row r="95" spans="1:7" ht="14.4">
      <c r="B95"/>
    </row>
    <row r="96" spans="1:7" ht="16.2">
      <c r="A96" s="119" t="s">
        <v>788</v>
      </c>
      <c r="B96" s="154"/>
    </row>
    <row r="97" spans="1:5" ht="14.4">
      <c r="B97"/>
    </row>
    <row r="98" spans="1:5" ht="14.4">
      <c r="B98" s="469" t="s">
        <v>186</v>
      </c>
      <c r="C98" s="783"/>
      <c r="D98" s="784"/>
      <c r="E98" s="785"/>
    </row>
    <row r="99" spans="1:5" ht="14.4">
      <c r="B99" s="469" t="s">
        <v>187</v>
      </c>
      <c r="C99" s="783"/>
      <c r="D99" s="784"/>
      <c r="E99" s="785"/>
    </row>
    <row r="100" spans="1:5" ht="24.75" customHeight="1">
      <c r="A100" s="119" t="s">
        <v>789</v>
      </c>
      <c r="B100"/>
    </row>
    <row r="101" spans="1:5" ht="14.4">
      <c r="B101"/>
    </row>
    <row r="102" spans="1:5" ht="14.4">
      <c r="B102" s="783"/>
      <c r="C102" s="784"/>
      <c r="D102" s="784"/>
      <c r="E102" s="785"/>
    </row>
  </sheetData>
  <mergeCells count="22">
    <mergeCell ref="F82:F83"/>
    <mergeCell ref="C94:E94"/>
    <mergeCell ref="C98:E98"/>
    <mergeCell ref="C99:E99"/>
    <mergeCell ref="B102:E102"/>
    <mergeCell ref="B82:B83"/>
    <mergeCell ref="C82:C83"/>
    <mergeCell ref="D82:D83"/>
    <mergeCell ref="E82:E83"/>
    <mergeCell ref="F59:F60"/>
    <mergeCell ref="B69:B70"/>
    <mergeCell ref="C69:C70"/>
    <mergeCell ref="D69:D70"/>
    <mergeCell ref="E69:E70"/>
    <mergeCell ref="F69:F70"/>
    <mergeCell ref="E59:E60"/>
    <mergeCell ref="B35:B38"/>
    <mergeCell ref="B40:B42"/>
    <mergeCell ref="B47:D47"/>
    <mergeCell ref="B59:B60"/>
    <mergeCell ref="C59:C60"/>
    <mergeCell ref="D59:D60"/>
  </mergeCells>
  <dataValidations count="3">
    <dataValidation type="list" allowBlank="1" showInputMessage="1" showErrorMessage="1" sqref="C20:C21 C24">
      <formula1>$H$2:$H$4</formula1>
    </dataValidation>
    <dataValidation type="list" allowBlank="1" showInputMessage="1" showErrorMessage="1" sqref="B29">
      <formula1>$J$2:$J$4</formula1>
    </dataValidation>
    <dataValidation type="list" allowBlank="1" showInputMessage="1" showErrorMessage="1" sqref="C23">
      <formula1>$I$2:$I$3</formula1>
    </dataValidation>
  </dataValidations>
  <hyperlinks>
    <hyperlink ref="C26" location="_ftn1" display="_ftn1"/>
    <hyperlink ref="D26" location="_ftn2" display="_ftn2"/>
    <hyperlink ref="E26" location="_ftn3" display="_ftn3"/>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
              <controlPr defaultSize="0" autoFill="0" autoLine="0" autoPict="0">
                <anchor moveWithCells="1">
                  <from>
                    <xdr:col>2</xdr:col>
                    <xdr:colOff>99060</xdr:colOff>
                    <xdr:row>32</xdr:row>
                    <xdr:rowOff>0</xdr:rowOff>
                  </from>
                  <to>
                    <xdr:col>2</xdr:col>
                    <xdr:colOff>3108960</xdr:colOff>
                    <xdr:row>33</xdr:row>
                    <xdr:rowOff>7620</xdr:rowOff>
                  </to>
                </anchor>
              </controlPr>
            </control>
          </mc:Choice>
        </mc:AlternateContent>
        <mc:AlternateContent xmlns:mc="http://schemas.openxmlformats.org/markup-compatibility/2006">
          <mc:Choice Requires="x14">
            <control shapeId="37890" r:id="rId5" name="Check Box 2">
              <controlPr defaultSize="0" autoFill="0" autoLine="0" autoPict="0">
                <anchor moveWithCells="1">
                  <from>
                    <xdr:col>2</xdr:col>
                    <xdr:colOff>99060</xdr:colOff>
                    <xdr:row>34</xdr:row>
                    <xdr:rowOff>0</xdr:rowOff>
                  </from>
                  <to>
                    <xdr:col>3</xdr:col>
                    <xdr:colOff>441960</xdr:colOff>
                    <xdr:row>34</xdr:row>
                    <xdr:rowOff>160020</xdr:rowOff>
                  </to>
                </anchor>
              </controlPr>
            </control>
          </mc:Choice>
        </mc:AlternateContent>
        <mc:AlternateContent xmlns:mc="http://schemas.openxmlformats.org/markup-compatibility/2006">
          <mc:Choice Requires="x14">
            <control shapeId="37891" r:id="rId6" name="Check Box 3">
              <controlPr defaultSize="0" autoFill="0" autoLine="0" autoPict="0">
                <anchor moveWithCells="1">
                  <from>
                    <xdr:col>2</xdr:col>
                    <xdr:colOff>99060</xdr:colOff>
                    <xdr:row>32</xdr:row>
                    <xdr:rowOff>182880</xdr:rowOff>
                  </from>
                  <to>
                    <xdr:col>3</xdr:col>
                    <xdr:colOff>1394460</xdr:colOff>
                    <xdr:row>33</xdr:row>
                    <xdr:rowOff>182880</xdr:rowOff>
                  </to>
                </anchor>
              </controlPr>
            </control>
          </mc:Choice>
        </mc:AlternateContent>
        <mc:AlternateContent xmlns:mc="http://schemas.openxmlformats.org/markup-compatibility/2006">
          <mc:Choice Requires="x14">
            <control shapeId="37892" r:id="rId7" name="Check Box 4">
              <controlPr defaultSize="0" autoFill="0" autoLine="0" autoPict="0">
                <anchor moveWithCells="1">
                  <from>
                    <xdr:col>2</xdr:col>
                    <xdr:colOff>38100</xdr:colOff>
                    <xdr:row>36</xdr:row>
                    <xdr:rowOff>30480</xdr:rowOff>
                  </from>
                  <to>
                    <xdr:col>4</xdr:col>
                    <xdr:colOff>5212080</xdr:colOff>
                    <xdr:row>36</xdr:row>
                    <xdr:rowOff>160020</xdr:rowOff>
                  </to>
                </anchor>
              </controlPr>
            </control>
          </mc:Choice>
        </mc:AlternateContent>
        <mc:AlternateContent xmlns:mc="http://schemas.openxmlformats.org/markup-compatibility/2006">
          <mc:Choice Requires="x14">
            <control shapeId="37893" r:id="rId8" name="Check Box 5">
              <controlPr defaultSize="0" autoFill="0" autoLine="0" autoPict="0">
                <anchor moveWithCells="1">
                  <from>
                    <xdr:col>2</xdr:col>
                    <xdr:colOff>45720</xdr:colOff>
                    <xdr:row>37</xdr:row>
                    <xdr:rowOff>30480</xdr:rowOff>
                  </from>
                  <to>
                    <xdr:col>5</xdr:col>
                    <xdr:colOff>106680</xdr:colOff>
                    <xdr:row>38</xdr:row>
                    <xdr:rowOff>0</xdr:rowOff>
                  </to>
                </anchor>
              </controlPr>
            </control>
          </mc:Choice>
        </mc:AlternateContent>
        <mc:AlternateContent xmlns:mc="http://schemas.openxmlformats.org/markup-compatibility/2006">
          <mc:Choice Requires="x14">
            <control shapeId="37894" r:id="rId9" name="Check Box 6">
              <controlPr defaultSize="0" autoFill="0" autoLine="0" autoPict="0">
                <anchor moveWithCells="1">
                  <from>
                    <xdr:col>2</xdr:col>
                    <xdr:colOff>45720</xdr:colOff>
                    <xdr:row>38</xdr:row>
                    <xdr:rowOff>7620</xdr:rowOff>
                  </from>
                  <to>
                    <xdr:col>4</xdr:col>
                    <xdr:colOff>4267200</xdr:colOff>
                    <xdr:row>39</xdr:row>
                    <xdr:rowOff>0</xdr:rowOff>
                  </to>
                </anchor>
              </controlPr>
            </control>
          </mc:Choice>
        </mc:AlternateContent>
        <mc:AlternateContent xmlns:mc="http://schemas.openxmlformats.org/markup-compatibility/2006">
          <mc:Choice Requires="x14">
            <control shapeId="37895" r:id="rId10" name="Check Box 7">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37896" r:id="rId11" name="Check Box 8">
              <controlPr defaultSize="0" autoFill="0" autoLine="0" autoPict="0">
                <anchor moveWithCells="1">
                  <from>
                    <xdr:col>2</xdr:col>
                    <xdr:colOff>99060</xdr:colOff>
                    <xdr:row>32</xdr:row>
                    <xdr:rowOff>0</xdr:rowOff>
                  </from>
                  <to>
                    <xdr:col>2</xdr:col>
                    <xdr:colOff>3108960</xdr:colOff>
                    <xdr:row>33</xdr:row>
                    <xdr:rowOff>7620</xdr:rowOff>
                  </to>
                </anchor>
              </controlPr>
            </control>
          </mc:Choice>
        </mc:AlternateContent>
        <mc:AlternateContent xmlns:mc="http://schemas.openxmlformats.org/markup-compatibility/2006">
          <mc:Choice Requires="x14">
            <control shapeId="37897" r:id="rId12" name="Check Box 9">
              <controlPr defaultSize="0" autoFill="0" autoLine="0" autoPict="0">
                <anchor moveWithCells="1">
                  <from>
                    <xdr:col>2</xdr:col>
                    <xdr:colOff>99060</xdr:colOff>
                    <xdr:row>34</xdr:row>
                    <xdr:rowOff>0</xdr:rowOff>
                  </from>
                  <to>
                    <xdr:col>3</xdr:col>
                    <xdr:colOff>441960</xdr:colOff>
                    <xdr:row>34</xdr:row>
                    <xdr:rowOff>160020</xdr:rowOff>
                  </to>
                </anchor>
              </controlPr>
            </control>
          </mc:Choice>
        </mc:AlternateContent>
        <mc:AlternateContent xmlns:mc="http://schemas.openxmlformats.org/markup-compatibility/2006">
          <mc:Choice Requires="x14">
            <control shapeId="37898" r:id="rId13" name="Check Box 10">
              <controlPr defaultSize="0" autoFill="0" autoLine="0" autoPict="0">
                <anchor moveWithCells="1">
                  <from>
                    <xdr:col>2</xdr:col>
                    <xdr:colOff>99060</xdr:colOff>
                    <xdr:row>32</xdr:row>
                    <xdr:rowOff>182880</xdr:rowOff>
                  </from>
                  <to>
                    <xdr:col>3</xdr:col>
                    <xdr:colOff>1394460</xdr:colOff>
                    <xdr:row>33</xdr:row>
                    <xdr:rowOff>182880</xdr:rowOff>
                  </to>
                </anchor>
              </controlPr>
            </control>
          </mc:Choice>
        </mc:AlternateContent>
        <mc:AlternateContent xmlns:mc="http://schemas.openxmlformats.org/markup-compatibility/2006">
          <mc:Choice Requires="x14">
            <control shapeId="37899" r:id="rId14" name="Check Box 11">
              <controlPr defaultSize="0" autoFill="0" autoLine="0" autoPict="0">
                <anchor moveWithCells="1">
                  <from>
                    <xdr:col>2</xdr:col>
                    <xdr:colOff>45720</xdr:colOff>
                    <xdr:row>38</xdr:row>
                    <xdr:rowOff>7620</xdr:rowOff>
                  </from>
                  <to>
                    <xdr:col>4</xdr:col>
                    <xdr:colOff>4267200</xdr:colOff>
                    <xdr:row>39</xdr:row>
                    <xdr:rowOff>0</xdr:rowOff>
                  </to>
                </anchor>
              </controlPr>
            </control>
          </mc:Choice>
        </mc:AlternateContent>
        <mc:AlternateContent xmlns:mc="http://schemas.openxmlformats.org/markup-compatibility/2006">
          <mc:Choice Requires="x14">
            <control shapeId="37900" r:id="rId15" name="Check Box 12">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37901" r:id="rId16" name="Check Box 13">
              <controlPr defaultSize="0" autoFill="0" autoLine="0" autoPict="0">
                <anchor moveWithCells="1">
                  <from>
                    <xdr:col>2</xdr:col>
                    <xdr:colOff>99060</xdr:colOff>
                    <xdr:row>32</xdr:row>
                    <xdr:rowOff>0</xdr:rowOff>
                  </from>
                  <to>
                    <xdr:col>2</xdr:col>
                    <xdr:colOff>3108960</xdr:colOff>
                    <xdr:row>33</xdr:row>
                    <xdr:rowOff>7620</xdr:rowOff>
                  </to>
                </anchor>
              </controlPr>
            </control>
          </mc:Choice>
        </mc:AlternateContent>
        <mc:AlternateContent xmlns:mc="http://schemas.openxmlformats.org/markup-compatibility/2006">
          <mc:Choice Requires="x14">
            <control shapeId="37902" r:id="rId17" name="Check Box 14">
              <controlPr defaultSize="0" autoFill="0" autoLine="0" autoPict="0">
                <anchor moveWithCells="1">
                  <from>
                    <xdr:col>2</xdr:col>
                    <xdr:colOff>99060</xdr:colOff>
                    <xdr:row>34</xdr:row>
                    <xdr:rowOff>0</xdr:rowOff>
                  </from>
                  <to>
                    <xdr:col>3</xdr:col>
                    <xdr:colOff>441960</xdr:colOff>
                    <xdr:row>34</xdr:row>
                    <xdr:rowOff>160020</xdr:rowOff>
                  </to>
                </anchor>
              </controlPr>
            </control>
          </mc:Choice>
        </mc:AlternateContent>
        <mc:AlternateContent xmlns:mc="http://schemas.openxmlformats.org/markup-compatibility/2006">
          <mc:Choice Requires="x14">
            <control shapeId="37903" r:id="rId18" name="Check Box 15">
              <controlPr defaultSize="0" autoFill="0" autoLine="0" autoPict="0">
                <anchor moveWithCells="1">
                  <from>
                    <xdr:col>2</xdr:col>
                    <xdr:colOff>99060</xdr:colOff>
                    <xdr:row>32</xdr:row>
                    <xdr:rowOff>182880</xdr:rowOff>
                  </from>
                  <to>
                    <xdr:col>3</xdr:col>
                    <xdr:colOff>1394460</xdr:colOff>
                    <xdr:row>33</xdr:row>
                    <xdr:rowOff>182880</xdr:rowOff>
                  </to>
                </anchor>
              </controlPr>
            </control>
          </mc:Choice>
        </mc:AlternateContent>
        <mc:AlternateContent xmlns:mc="http://schemas.openxmlformats.org/markup-compatibility/2006">
          <mc:Choice Requires="x14">
            <control shapeId="37904" r:id="rId19" name="Check Box 16">
              <controlPr defaultSize="0" autoFill="0" autoLine="0" autoPict="0">
                <anchor moveWithCells="1">
                  <from>
                    <xdr:col>2</xdr:col>
                    <xdr:colOff>38100</xdr:colOff>
                    <xdr:row>36</xdr:row>
                    <xdr:rowOff>30480</xdr:rowOff>
                  </from>
                  <to>
                    <xdr:col>4</xdr:col>
                    <xdr:colOff>5212080</xdr:colOff>
                    <xdr:row>36</xdr:row>
                    <xdr:rowOff>160020</xdr:rowOff>
                  </to>
                </anchor>
              </controlPr>
            </control>
          </mc:Choice>
        </mc:AlternateContent>
        <mc:AlternateContent xmlns:mc="http://schemas.openxmlformats.org/markup-compatibility/2006">
          <mc:Choice Requires="x14">
            <control shapeId="37905" r:id="rId20" name="Check Box 17">
              <controlPr defaultSize="0" autoFill="0" autoLine="0" autoPict="0">
                <anchor moveWithCells="1">
                  <from>
                    <xdr:col>2</xdr:col>
                    <xdr:colOff>45720</xdr:colOff>
                    <xdr:row>37</xdr:row>
                    <xdr:rowOff>30480</xdr:rowOff>
                  </from>
                  <to>
                    <xdr:col>5</xdr:col>
                    <xdr:colOff>106680</xdr:colOff>
                    <xdr:row>38</xdr:row>
                    <xdr:rowOff>0</xdr:rowOff>
                  </to>
                </anchor>
              </controlPr>
            </control>
          </mc:Choice>
        </mc:AlternateContent>
        <mc:AlternateContent xmlns:mc="http://schemas.openxmlformats.org/markup-compatibility/2006">
          <mc:Choice Requires="x14">
            <control shapeId="37906" r:id="rId21" name="Check Box 18">
              <controlPr defaultSize="0" autoFill="0" autoLine="0" autoPict="0">
                <anchor moveWithCells="1">
                  <from>
                    <xdr:col>2</xdr:col>
                    <xdr:colOff>45720</xdr:colOff>
                    <xdr:row>38</xdr:row>
                    <xdr:rowOff>7620</xdr:rowOff>
                  </from>
                  <to>
                    <xdr:col>4</xdr:col>
                    <xdr:colOff>4267200</xdr:colOff>
                    <xdr:row>39</xdr:row>
                    <xdr:rowOff>0</xdr:rowOff>
                  </to>
                </anchor>
              </controlPr>
            </control>
          </mc:Choice>
        </mc:AlternateContent>
        <mc:AlternateContent xmlns:mc="http://schemas.openxmlformats.org/markup-compatibility/2006">
          <mc:Choice Requires="x14">
            <control shapeId="37907" r:id="rId22" name="Check Box 19">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37908" r:id="rId23" name="Check Box 20">
              <controlPr defaultSize="0" autoFill="0" autoLine="0" autoPict="0">
                <anchor moveWithCells="1">
                  <from>
                    <xdr:col>2</xdr:col>
                    <xdr:colOff>99060</xdr:colOff>
                    <xdr:row>32</xdr:row>
                    <xdr:rowOff>0</xdr:rowOff>
                  </from>
                  <to>
                    <xdr:col>2</xdr:col>
                    <xdr:colOff>3108960</xdr:colOff>
                    <xdr:row>33</xdr:row>
                    <xdr:rowOff>7620</xdr:rowOff>
                  </to>
                </anchor>
              </controlPr>
            </control>
          </mc:Choice>
        </mc:AlternateContent>
        <mc:AlternateContent xmlns:mc="http://schemas.openxmlformats.org/markup-compatibility/2006">
          <mc:Choice Requires="x14">
            <control shapeId="37909" r:id="rId24" name="Check Box 21">
              <controlPr defaultSize="0" autoFill="0" autoLine="0" autoPict="0">
                <anchor moveWithCells="1">
                  <from>
                    <xdr:col>2</xdr:col>
                    <xdr:colOff>99060</xdr:colOff>
                    <xdr:row>34</xdr:row>
                    <xdr:rowOff>0</xdr:rowOff>
                  </from>
                  <to>
                    <xdr:col>3</xdr:col>
                    <xdr:colOff>441960</xdr:colOff>
                    <xdr:row>34</xdr:row>
                    <xdr:rowOff>160020</xdr:rowOff>
                  </to>
                </anchor>
              </controlPr>
            </control>
          </mc:Choice>
        </mc:AlternateContent>
        <mc:AlternateContent xmlns:mc="http://schemas.openxmlformats.org/markup-compatibility/2006">
          <mc:Choice Requires="x14">
            <control shapeId="37910" r:id="rId25" name="Check Box 22">
              <controlPr defaultSize="0" autoFill="0" autoLine="0" autoPict="0">
                <anchor moveWithCells="1">
                  <from>
                    <xdr:col>2</xdr:col>
                    <xdr:colOff>99060</xdr:colOff>
                    <xdr:row>32</xdr:row>
                    <xdr:rowOff>182880</xdr:rowOff>
                  </from>
                  <to>
                    <xdr:col>3</xdr:col>
                    <xdr:colOff>1394460</xdr:colOff>
                    <xdr:row>33</xdr:row>
                    <xdr:rowOff>182880</xdr:rowOff>
                  </to>
                </anchor>
              </controlPr>
            </control>
          </mc:Choice>
        </mc:AlternateContent>
        <mc:AlternateContent xmlns:mc="http://schemas.openxmlformats.org/markup-compatibility/2006">
          <mc:Choice Requires="x14">
            <control shapeId="37911" r:id="rId26" name="Check Box 23">
              <controlPr defaultSize="0" autoFill="0" autoLine="0" autoPict="0">
                <anchor moveWithCells="1">
                  <from>
                    <xdr:col>2</xdr:col>
                    <xdr:colOff>45720</xdr:colOff>
                    <xdr:row>38</xdr:row>
                    <xdr:rowOff>7620</xdr:rowOff>
                  </from>
                  <to>
                    <xdr:col>4</xdr:col>
                    <xdr:colOff>4267200</xdr:colOff>
                    <xdr:row>39</xdr:row>
                    <xdr:rowOff>0</xdr:rowOff>
                  </to>
                </anchor>
              </controlPr>
            </control>
          </mc:Choice>
        </mc:AlternateContent>
        <mc:AlternateContent xmlns:mc="http://schemas.openxmlformats.org/markup-compatibility/2006">
          <mc:Choice Requires="x14">
            <control shapeId="37912" r:id="rId27" name="Check Box 24">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37913" r:id="rId28" name="Check Box 25">
              <controlPr defaultSize="0" autoFill="0" autoLine="0" autoPict="0">
                <anchor moveWithCells="1">
                  <from>
                    <xdr:col>2</xdr:col>
                    <xdr:colOff>83820</xdr:colOff>
                    <xdr:row>34</xdr:row>
                    <xdr:rowOff>7620</xdr:rowOff>
                  </from>
                  <to>
                    <xdr:col>3</xdr:col>
                    <xdr:colOff>784860</xdr:colOff>
                    <xdr:row>35</xdr:row>
                    <xdr:rowOff>38100</xdr:rowOff>
                  </to>
                </anchor>
              </controlPr>
            </control>
          </mc:Choice>
        </mc:AlternateContent>
        <mc:AlternateContent xmlns:mc="http://schemas.openxmlformats.org/markup-compatibility/2006">
          <mc:Choice Requires="x14">
            <control shapeId="37914" r:id="rId29" name="Check Box 26">
              <controlPr defaultSize="0" autoFill="0" autoLine="0" autoPict="0">
                <anchor moveWithCells="1">
                  <from>
                    <xdr:col>2</xdr:col>
                    <xdr:colOff>99060</xdr:colOff>
                    <xdr:row>35</xdr:row>
                    <xdr:rowOff>0</xdr:rowOff>
                  </from>
                  <to>
                    <xdr:col>2</xdr:col>
                    <xdr:colOff>3108960</xdr:colOff>
                    <xdr:row>36</xdr:row>
                    <xdr:rowOff>7620</xdr:rowOff>
                  </to>
                </anchor>
              </controlPr>
            </control>
          </mc:Choice>
        </mc:AlternateContent>
        <mc:AlternateContent xmlns:mc="http://schemas.openxmlformats.org/markup-compatibility/2006">
          <mc:Choice Requires="x14">
            <control shapeId="37915" r:id="rId30" name="Check Box 27">
              <controlPr defaultSize="0" autoFill="0" autoLine="0" autoPict="0">
                <anchor moveWithCells="1">
                  <from>
                    <xdr:col>2</xdr:col>
                    <xdr:colOff>99060</xdr:colOff>
                    <xdr:row>37</xdr:row>
                    <xdr:rowOff>0</xdr:rowOff>
                  </from>
                  <to>
                    <xdr:col>3</xdr:col>
                    <xdr:colOff>441960</xdr:colOff>
                    <xdr:row>37</xdr:row>
                    <xdr:rowOff>160020</xdr:rowOff>
                  </to>
                </anchor>
              </controlPr>
            </control>
          </mc:Choice>
        </mc:AlternateContent>
        <mc:AlternateContent xmlns:mc="http://schemas.openxmlformats.org/markup-compatibility/2006">
          <mc:Choice Requires="x14">
            <control shapeId="37916" r:id="rId31" name="Check Box 28">
              <controlPr defaultSize="0" autoFill="0" autoLine="0" autoPict="0">
                <anchor moveWithCells="1">
                  <from>
                    <xdr:col>2</xdr:col>
                    <xdr:colOff>99060</xdr:colOff>
                    <xdr:row>35</xdr:row>
                    <xdr:rowOff>182880</xdr:rowOff>
                  </from>
                  <to>
                    <xdr:col>3</xdr:col>
                    <xdr:colOff>1356360</xdr:colOff>
                    <xdr:row>37</xdr:row>
                    <xdr:rowOff>22860</xdr:rowOff>
                  </to>
                </anchor>
              </controlPr>
            </control>
          </mc:Choice>
        </mc:AlternateContent>
        <mc:AlternateContent xmlns:mc="http://schemas.openxmlformats.org/markup-compatibility/2006">
          <mc:Choice Requires="x14">
            <control shapeId="37917" r:id="rId32" name="Check Box 29">
              <controlPr defaultSize="0" autoFill="0" autoLine="0" autoPict="0">
                <anchor moveWithCells="1">
                  <from>
                    <xdr:col>2</xdr:col>
                    <xdr:colOff>38100</xdr:colOff>
                    <xdr:row>39</xdr:row>
                    <xdr:rowOff>30480</xdr:rowOff>
                  </from>
                  <to>
                    <xdr:col>4</xdr:col>
                    <xdr:colOff>5212080</xdr:colOff>
                    <xdr:row>39</xdr:row>
                    <xdr:rowOff>160020</xdr:rowOff>
                  </to>
                </anchor>
              </controlPr>
            </control>
          </mc:Choice>
        </mc:AlternateContent>
        <mc:AlternateContent xmlns:mc="http://schemas.openxmlformats.org/markup-compatibility/2006">
          <mc:Choice Requires="x14">
            <control shapeId="37918" r:id="rId33" name="Check Box 30">
              <controlPr defaultSize="0" autoFill="0" autoLine="0" autoPict="0">
                <anchor moveWithCells="1">
                  <from>
                    <xdr:col>2</xdr:col>
                    <xdr:colOff>45720</xdr:colOff>
                    <xdr:row>40</xdr:row>
                    <xdr:rowOff>30480</xdr:rowOff>
                  </from>
                  <to>
                    <xdr:col>5</xdr:col>
                    <xdr:colOff>106680</xdr:colOff>
                    <xdr:row>41</xdr:row>
                    <xdr:rowOff>0</xdr:rowOff>
                  </to>
                </anchor>
              </controlPr>
            </control>
          </mc:Choice>
        </mc:AlternateContent>
        <mc:AlternateContent xmlns:mc="http://schemas.openxmlformats.org/markup-compatibility/2006">
          <mc:Choice Requires="x14">
            <control shapeId="37919" r:id="rId34" name="Check Box 31">
              <controlPr defaultSize="0" autoFill="0" autoLine="0" autoPict="0">
                <anchor moveWithCells="1">
                  <from>
                    <xdr:col>2</xdr:col>
                    <xdr:colOff>45720</xdr:colOff>
                    <xdr:row>41</xdr:row>
                    <xdr:rowOff>7620</xdr:rowOff>
                  </from>
                  <to>
                    <xdr:col>4</xdr:col>
                    <xdr:colOff>4251960</xdr:colOff>
                    <xdr:row>42</xdr:row>
                    <xdr:rowOff>0</xdr:rowOff>
                  </to>
                </anchor>
              </controlPr>
            </control>
          </mc:Choice>
        </mc:AlternateContent>
        <mc:AlternateContent xmlns:mc="http://schemas.openxmlformats.org/markup-compatibility/2006">
          <mc:Choice Requires="x14">
            <control shapeId="37920" r:id="rId35" name="Check Box 32">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topLeftCell="A7" workbookViewId="0">
      <selection activeCell="E5" sqref="E5:I5"/>
    </sheetView>
  </sheetViews>
  <sheetFormatPr defaultColWidth="9.109375" defaultRowHeight="15.6"/>
  <cols>
    <col min="1" max="1" width="9.109375" style="71"/>
    <col min="2" max="2" width="13.5546875" style="71" customWidth="1"/>
    <col min="3" max="3" width="11.44140625" style="71" customWidth="1"/>
    <col min="4" max="4" width="16.6640625" style="71" customWidth="1"/>
    <col min="5" max="5" width="14.88671875" style="71" customWidth="1"/>
    <col min="6" max="6" width="11.6640625" style="71" customWidth="1"/>
    <col min="7" max="7" width="8.5546875" style="71" customWidth="1"/>
    <col min="8" max="8" width="10.6640625" style="71" customWidth="1"/>
    <col min="9" max="9" width="53" style="71" customWidth="1"/>
    <col min="10" max="10" width="16.88671875" style="71" customWidth="1"/>
    <col min="11" max="11" width="16.44140625" style="71" customWidth="1"/>
    <col min="12" max="12" width="40.6640625" style="71" customWidth="1"/>
    <col min="13" max="15" width="20.109375" style="71" customWidth="1"/>
    <col min="16" max="16" width="26.109375" style="71" customWidth="1"/>
    <col min="17" max="17" width="18.109375" style="71" customWidth="1"/>
    <col min="18" max="18" width="15.33203125" style="71" customWidth="1"/>
    <col min="19" max="19" width="15.6640625" style="71" customWidth="1"/>
    <col min="20" max="20" width="10.6640625" style="71" customWidth="1"/>
    <col min="21" max="21" width="11.44140625" style="71" customWidth="1"/>
    <col min="22" max="22" width="9.109375" style="71"/>
    <col min="23" max="23" width="14.88671875" style="71" hidden="1" customWidth="1"/>
    <col min="24" max="16384" width="9.109375" style="71"/>
  </cols>
  <sheetData>
    <row r="1" spans="1:16">
      <c r="A1" s="2" t="s">
        <v>176</v>
      </c>
    </row>
    <row r="2" spans="1:16" ht="18">
      <c r="A2" s="118"/>
    </row>
    <row r="3" spans="1:16">
      <c r="A3" s="2" t="s">
        <v>268</v>
      </c>
    </row>
    <row r="5" spans="1:16">
      <c r="B5" s="119" t="s">
        <v>725</v>
      </c>
      <c r="E5" s="811" t="s">
        <v>640</v>
      </c>
      <c r="F5" s="811"/>
      <c r="G5" s="811"/>
      <c r="H5" s="811"/>
      <c r="I5" s="811"/>
    </row>
    <row r="7" spans="1:16" ht="42" customHeight="1">
      <c r="B7" s="779" t="s">
        <v>5</v>
      </c>
      <c r="C7" s="779"/>
      <c r="D7" s="775" t="s">
        <v>124</v>
      </c>
      <c r="E7" s="775"/>
      <c r="F7" s="780" t="s">
        <v>123</v>
      </c>
      <c r="G7" s="781"/>
      <c r="H7" s="782"/>
      <c r="I7" s="773" t="s">
        <v>175</v>
      </c>
      <c r="J7" s="773" t="s">
        <v>174</v>
      </c>
      <c r="K7" s="773" t="s">
        <v>180</v>
      </c>
      <c r="L7" s="773" t="s">
        <v>181</v>
      </c>
      <c r="M7" s="775" t="s">
        <v>122</v>
      </c>
      <c r="N7" s="773" t="s">
        <v>121</v>
      </c>
      <c r="O7" s="773" t="s">
        <v>173</v>
      </c>
      <c r="P7" s="775" t="s">
        <v>183</v>
      </c>
    </row>
    <row r="8" spans="1:16" ht="22.5" customHeight="1">
      <c r="B8" s="354" t="s">
        <v>1</v>
      </c>
      <c r="C8" s="354" t="s">
        <v>20</v>
      </c>
      <c r="D8" s="353" t="s">
        <v>120</v>
      </c>
      <c r="E8" s="354" t="s">
        <v>20</v>
      </c>
      <c r="F8" s="354" t="s">
        <v>54</v>
      </c>
      <c r="G8" s="354" t="s">
        <v>72</v>
      </c>
      <c r="H8" s="354" t="s">
        <v>97</v>
      </c>
      <c r="I8" s="774"/>
      <c r="J8" s="774"/>
      <c r="K8" s="774"/>
      <c r="L8" s="774"/>
      <c r="M8" s="775"/>
      <c r="N8" s="774"/>
      <c r="O8" s="774"/>
      <c r="P8" s="775"/>
    </row>
    <row r="9" spans="1:16" ht="259.2">
      <c r="B9" s="355">
        <v>1016</v>
      </c>
      <c r="C9" s="355">
        <v>11004</v>
      </c>
      <c r="D9" s="360" t="s">
        <v>598</v>
      </c>
      <c r="E9" s="360" t="s">
        <v>599</v>
      </c>
      <c r="F9" s="359">
        <v>449460</v>
      </c>
      <c r="G9" s="359">
        <v>117560</v>
      </c>
      <c r="H9" s="359">
        <v>124000</v>
      </c>
      <c r="I9" s="360" t="s">
        <v>600</v>
      </c>
      <c r="J9" s="360"/>
      <c r="K9" s="355"/>
      <c r="L9" s="360" t="s">
        <v>601</v>
      </c>
      <c r="M9" s="355">
        <v>2027</v>
      </c>
      <c r="N9" s="355" t="s">
        <v>587</v>
      </c>
      <c r="O9" s="355"/>
      <c r="P9" s="355"/>
    </row>
    <row r="10" spans="1:16">
      <c r="B10" s="70" t="s">
        <v>9</v>
      </c>
      <c r="C10" s="70"/>
      <c r="D10" s="70"/>
      <c r="E10" s="70"/>
      <c r="F10" s="361">
        <f>F9</f>
        <v>449460</v>
      </c>
      <c r="G10" s="359">
        <f>G9</f>
        <v>117560</v>
      </c>
      <c r="H10" s="359">
        <f>H9</f>
        <v>124000</v>
      </c>
      <c r="I10" s="70"/>
      <c r="J10" s="70"/>
      <c r="K10" s="151"/>
      <c r="L10" s="151"/>
      <c r="M10" s="151"/>
      <c r="N10" s="151"/>
      <c r="O10" s="151"/>
      <c r="P10" s="70"/>
    </row>
    <row r="11" spans="1:16" hidden="1">
      <c r="B11" s="776" t="s">
        <v>9</v>
      </c>
      <c r="C11" s="777"/>
      <c r="D11" s="777"/>
      <c r="E11" s="778"/>
      <c r="F11" s="147">
        <f>SUM(F9:F10)</f>
        <v>898920</v>
      </c>
      <c r="G11" s="147">
        <f>SUM(G9:G10)</f>
        <v>235120</v>
      </c>
      <c r="H11" s="147">
        <f>SUM(H9:H10)</f>
        <v>248000</v>
      </c>
      <c r="I11" s="117" t="s">
        <v>39</v>
      </c>
      <c r="J11" s="117" t="s">
        <v>39</v>
      </c>
      <c r="K11" s="117" t="s">
        <v>39</v>
      </c>
      <c r="L11" s="117" t="s">
        <v>39</v>
      </c>
      <c r="M11" s="117"/>
      <c r="N11" s="117"/>
      <c r="O11" s="117"/>
      <c r="P11" s="117" t="s">
        <v>39</v>
      </c>
    </row>
    <row r="13" spans="1:16" ht="26.25" customHeight="1"/>
    <row r="14" spans="1:16" ht="15.6" hidden="1" customHeight="1"/>
  </sheetData>
  <mergeCells count="13">
    <mergeCell ref="O7:O8"/>
    <mergeCell ref="P7:P8"/>
    <mergeCell ref="B7:C7"/>
    <mergeCell ref="D7:E7"/>
    <mergeCell ref="F7:H7"/>
    <mergeCell ref="I7:I8"/>
    <mergeCell ref="J7:J8"/>
    <mergeCell ref="K7:K8"/>
    <mergeCell ref="B11:E11"/>
    <mergeCell ref="L7:L8"/>
    <mergeCell ref="M7:M8"/>
    <mergeCell ref="N7:N8"/>
    <mergeCell ref="E5:I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20"/>
  <sheetViews>
    <sheetView topLeftCell="A94" workbookViewId="0">
      <selection sqref="A1:XFD1048576"/>
    </sheetView>
  </sheetViews>
  <sheetFormatPr defaultColWidth="9.109375" defaultRowHeight="13.2"/>
  <cols>
    <col min="1" max="1" width="9.109375" style="73"/>
    <col min="2" max="2" width="48.109375" style="578" customWidth="1"/>
    <col min="3" max="3" width="14.6640625" style="73" customWidth="1"/>
    <col min="4" max="4" width="16" style="73" customWidth="1"/>
    <col min="5" max="5" width="22.6640625" style="73" customWidth="1"/>
    <col min="6" max="6" width="14.6640625" style="73" customWidth="1"/>
    <col min="7" max="7" width="28.33203125" style="73" customWidth="1"/>
    <col min="8" max="8" width="4" style="73" hidden="1" customWidth="1"/>
    <col min="9" max="10" width="7.88671875" style="73" hidden="1" customWidth="1"/>
    <col min="11" max="16384" width="9.109375" style="73"/>
  </cols>
  <sheetData>
    <row r="1" spans="1:10" s="514" customFormat="1" ht="30" customHeight="1">
      <c r="A1" s="513" t="s">
        <v>811</v>
      </c>
      <c r="C1" s="515" t="s">
        <v>812</v>
      </c>
      <c r="D1" s="515"/>
      <c r="E1" s="513"/>
      <c r="F1" s="513"/>
    </row>
    <row r="2" spans="1:10" ht="46.5" customHeight="1">
      <c r="A2" s="516"/>
      <c r="B2" s="833" t="s">
        <v>813</v>
      </c>
      <c r="C2" s="834"/>
      <c r="D2" s="834"/>
      <c r="E2" s="835"/>
      <c r="F2" s="513"/>
      <c r="H2" s="513" t="s">
        <v>125</v>
      </c>
      <c r="I2" s="513" t="s">
        <v>126</v>
      </c>
      <c r="J2" s="73" t="s">
        <v>127</v>
      </c>
    </row>
    <row r="3" spans="1:10">
      <c r="A3" s="517"/>
      <c r="B3" s="518"/>
      <c r="C3" s="515"/>
      <c r="D3" s="515"/>
      <c r="E3" s="513"/>
      <c r="F3" s="513"/>
      <c r="H3" s="513" t="s">
        <v>128</v>
      </c>
      <c r="I3" s="73" t="s">
        <v>129</v>
      </c>
      <c r="J3" s="519" t="s">
        <v>130</v>
      </c>
    </row>
    <row r="4" spans="1:10">
      <c r="A4" s="520" t="s">
        <v>131</v>
      </c>
      <c r="B4" s="513"/>
      <c r="C4" s="515"/>
      <c r="D4" s="515"/>
      <c r="E4" s="513"/>
      <c r="F4" s="513"/>
      <c r="H4" s="513" t="s">
        <v>132</v>
      </c>
      <c r="I4" s="73" t="s">
        <v>133</v>
      </c>
      <c r="J4" s="519" t="s">
        <v>134</v>
      </c>
    </row>
    <row r="5" spans="1:10">
      <c r="A5" s="517"/>
      <c r="B5" s="518"/>
      <c r="C5" s="515"/>
      <c r="D5" s="515"/>
      <c r="E5" s="513"/>
      <c r="F5" s="513"/>
      <c r="H5" s="513" t="s">
        <v>135</v>
      </c>
      <c r="J5" s="519" t="s">
        <v>136</v>
      </c>
    </row>
    <row r="6" spans="1:10" ht="48" customHeight="1">
      <c r="A6" s="517"/>
      <c r="B6" s="125" t="s">
        <v>814</v>
      </c>
      <c r="C6" s="836" t="s">
        <v>815</v>
      </c>
      <c r="D6" s="836"/>
      <c r="E6" s="836"/>
      <c r="F6" s="513"/>
      <c r="G6" s="513"/>
    </row>
    <row r="7" spans="1:10" ht="35.25" customHeight="1">
      <c r="A7" s="517"/>
      <c r="B7" s="125" t="s">
        <v>199</v>
      </c>
      <c r="C7" s="836"/>
      <c r="D7" s="836"/>
      <c r="E7" s="836"/>
      <c r="F7" s="513"/>
      <c r="G7" s="513"/>
    </row>
    <row r="8" spans="1:10">
      <c r="A8" s="517"/>
      <c r="B8" s="518"/>
      <c r="C8" s="515"/>
      <c r="D8" s="521" t="s">
        <v>588</v>
      </c>
      <c r="E8" s="513"/>
      <c r="F8" s="513"/>
      <c r="G8" s="513"/>
    </row>
    <row r="9" spans="1:10">
      <c r="A9" s="520" t="s">
        <v>137</v>
      </c>
      <c r="B9" s="518"/>
      <c r="C9" s="515"/>
      <c r="D9" s="515"/>
      <c r="E9" s="513"/>
      <c r="F9" s="513"/>
      <c r="G9" s="513"/>
    </row>
    <row r="10" spans="1:10">
      <c r="A10" s="520"/>
      <c r="B10" s="518"/>
      <c r="C10" s="515"/>
      <c r="D10" s="515"/>
      <c r="E10" s="513"/>
      <c r="F10" s="513"/>
      <c r="G10" s="513"/>
    </row>
    <row r="11" spans="1:10" ht="33.75" customHeight="1">
      <c r="A11" s="520"/>
      <c r="B11" s="125" t="s">
        <v>816</v>
      </c>
      <c r="C11" s="837" t="s">
        <v>598</v>
      </c>
      <c r="D11" s="838"/>
      <c r="E11" s="839"/>
      <c r="G11" s="513"/>
    </row>
    <row r="12" spans="1:10">
      <c r="A12" s="520"/>
      <c r="B12" s="125" t="s">
        <v>817</v>
      </c>
      <c r="C12" s="840">
        <v>1016</v>
      </c>
      <c r="D12" s="841"/>
      <c r="E12" s="842"/>
      <c r="G12" s="513"/>
    </row>
    <row r="13" spans="1:10">
      <c r="A13" s="520"/>
      <c r="B13" s="522"/>
      <c r="C13" s="843"/>
      <c r="D13" s="843"/>
      <c r="E13" s="843"/>
      <c r="F13" s="513"/>
      <c r="G13" s="513"/>
    </row>
    <row r="14" spans="1:10">
      <c r="A14" s="520"/>
      <c r="B14" s="125" t="s">
        <v>138</v>
      </c>
      <c r="C14" s="840" t="s">
        <v>800</v>
      </c>
      <c r="D14" s="841"/>
      <c r="E14" s="842"/>
      <c r="F14" s="513"/>
      <c r="G14" s="513"/>
    </row>
    <row r="15" spans="1:10">
      <c r="A15" s="520"/>
      <c r="B15" s="125" t="s">
        <v>818</v>
      </c>
      <c r="C15" s="523" t="s">
        <v>723</v>
      </c>
      <c r="D15" s="523"/>
      <c r="E15" s="523"/>
      <c r="F15" s="513"/>
      <c r="G15" s="513"/>
    </row>
    <row r="16" spans="1:10">
      <c r="A16" s="520"/>
      <c r="B16" s="518"/>
      <c r="C16" s="115"/>
      <c r="D16" s="515"/>
      <c r="E16" s="513"/>
      <c r="F16" s="513"/>
      <c r="G16" s="513"/>
    </row>
    <row r="17" spans="1:10">
      <c r="A17" s="520" t="s">
        <v>139</v>
      </c>
      <c r="B17" s="518"/>
      <c r="C17" s="115"/>
      <c r="D17" s="515"/>
      <c r="E17" s="513"/>
      <c r="F17" s="513"/>
      <c r="G17" s="513"/>
    </row>
    <row r="18" spans="1:10" ht="39.75" customHeight="1">
      <c r="B18" s="131" t="s">
        <v>252</v>
      </c>
      <c r="C18" s="844" t="s">
        <v>819</v>
      </c>
      <c r="D18" s="845"/>
      <c r="E18" s="846"/>
      <c r="F18" s="513"/>
      <c r="G18" s="513"/>
    </row>
    <row r="19" spans="1:10">
      <c r="A19" s="520"/>
      <c r="B19" s="125" t="s">
        <v>820</v>
      </c>
      <c r="C19" s="524">
        <v>11004</v>
      </c>
      <c r="D19" s="515"/>
      <c r="E19" s="513"/>
      <c r="F19" s="513"/>
      <c r="G19" s="513"/>
    </row>
    <row r="20" spans="1:10">
      <c r="A20" s="520"/>
      <c r="B20" s="515"/>
      <c r="C20" s="515"/>
      <c r="D20" s="515"/>
      <c r="E20" s="513"/>
      <c r="F20" s="513"/>
      <c r="G20" s="513"/>
    </row>
    <row r="21" spans="1:10" ht="26.25" customHeight="1">
      <c r="A21" s="520"/>
      <c r="B21" s="125" t="s">
        <v>821</v>
      </c>
      <c r="C21" s="525" t="s">
        <v>128</v>
      </c>
      <c r="F21" s="513"/>
      <c r="G21" s="513"/>
    </row>
    <row r="22" spans="1:10">
      <c r="A22" s="520"/>
      <c r="B22" s="73"/>
      <c r="C22" s="523"/>
      <c r="F22" s="513"/>
      <c r="G22" s="513"/>
    </row>
    <row r="23" spans="1:10">
      <c r="A23" s="520"/>
      <c r="B23" s="518"/>
      <c r="C23" s="115"/>
      <c r="D23" s="515"/>
      <c r="E23" s="513"/>
      <c r="F23" s="513"/>
      <c r="G23" s="513"/>
    </row>
    <row r="24" spans="1:10">
      <c r="A24" s="520"/>
      <c r="B24" s="125" t="s">
        <v>822</v>
      </c>
      <c r="C24" s="525" t="s">
        <v>129</v>
      </c>
      <c r="F24" s="513"/>
      <c r="G24" s="513"/>
    </row>
    <row r="25" spans="1:10">
      <c r="A25" s="520"/>
      <c r="B25" s="73"/>
      <c r="C25" s="523"/>
      <c r="D25" s="515"/>
      <c r="E25" s="513"/>
      <c r="F25" s="513"/>
      <c r="G25" s="513"/>
    </row>
    <row r="26" spans="1:10">
      <c r="A26" s="520"/>
      <c r="B26" s="518"/>
      <c r="C26" s="115"/>
      <c r="D26" s="515"/>
      <c r="E26" s="513"/>
      <c r="F26" s="513"/>
      <c r="G26" s="513"/>
    </row>
    <row r="27" spans="1:10" ht="15.75" customHeight="1">
      <c r="A27" s="520" t="s">
        <v>140</v>
      </c>
      <c r="B27" s="73"/>
      <c r="C27" s="518"/>
      <c r="D27" s="518"/>
      <c r="E27" s="518"/>
      <c r="F27" s="518"/>
      <c r="G27" s="518"/>
      <c r="H27" s="518"/>
      <c r="I27" s="518"/>
      <c r="J27" s="518"/>
    </row>
    <row r="28" spans="1:10">
      <c r="B28" s="518"/>
      <c r="C28" s="518"/>
      <c r="D28" s="518"/>
      <c r="E28" s="518"/>
      <c r="F28" s="518"/>
      <c r="G28" s="518"/>
      <c r="H28" s="518"/>
      <c r="I28" s="518"/>
      <c r="J28" s="518"/>
    </row>
    <row r="29" spans="1:10" ht="54" customHeight="1">
      <c r="B29" s="131" t="s">
        <v>823</v>
      </c>
      <c r="C29" s="131" t="s">
        <v>824</v>
      </c>
      <c r="D29" s="131" t="s">
        <v>825</v>
      </c>
      <c r="E29" s="131" t="s">
        <v>826</v>
      </c>
      <c r="F29" s="518"/>
      <c r="G29" s="518"/>
      <c r="H29" s="518"/>
      <c r="I29" s="518"/>
      <c r="J29" s="518"/>
    </row>
    <row r="30" spans="1:10" ht="240" customHeight="1">
      <c r="B30" s="499" t="s">
        <v>134</v>
      </c>
      <c r="C30" s="500" t="s">
        <v>827</v>
      </c>
      <c r="D30" s="500" t="s">
        <v>758</v>
      </c>
      <c r="E30" s="526"/>
      <c r="G30" s="518"/>
      <c r="H30" s="518"/>
      <c r="I30" s="518"/>
    </row>
    <row r="31" spans="1:10" s="527" customFormat="1" ht="20.25" customHeight="1">
      <c r="A31" s="520" t="s">
        <v>141</v>
      </c>
    </row>
    <row r="32" spans="1:10" s="527" customFormat="1" ht="15" customHeight="1"/>
    <row r="33" spans="1:7" s="527" customFormat="1" ht="169.5" customHeight="1">
      <c r="B33" s="125" t="s">
        <v>828</v>
      </c>
      <c r="C33" s="812" t="s">
        <v>829</v>
      </c>
      <c r="D33" s="813"/>
      <c r="E33" s="813"/>
      <c r="F33" s="813"/>
      <c r="G33" s="814"/>
    </row>
    <row r="34" spans="1:7" s="527" customFormat="1" ht="17.25" customHeight="1"/>
    <row r="35" spans="1:7" s="527" customFormat="1" ht="16.5" customHeight="1">
      <c r="B35" s="789" t="s">
        <v>830</v>
      </c>
      <c r="C35" s="528" t="s">
        <v>763</v>
      </c>
    </row>
    <row r="36" spans="1:7" s="527" customFormat="1" ht="15" customHeight="1">
      <c r="B36" s="790"/>
    </row>
    <row r="37" spans="1:7" s="527" customFormat="1" ht="15" customHeight="1">
      <c r="B37" s="790"/>
    </row>
    <row r="38" spans="1:7" s="527" customFormat="1" ht="15" customHeight="1">
      <c r="B38" s="791"/>
      <c r="C38" s="529"/>
    </row>
    <row r="39" spans="1:7" s="527" customFormat="1" ht="15" customHeight="1"/>
    <row r="40" spans="1:7" s="527" customFormat="1" ht="13.5" customHeight="1">
      <c r="B40" s="789" t="s">
        <v>831</v>
      </c>
    </row>
    <row r="41" spans="1:7" s="527" customFormat="1">
      <c r="B41" s="790"/>
    </row>
    <row r="42" spans="1:7" s="527" customFormat="1">
      <c r="B42" s="791"/>
    </row>
    <row r="43" spans="1:7" s="527" customFormat="1"/>
    <row r="44" spans="1:7" s="527" customFormat="1"/>
    <row r="45" spans="1:7" s="527" customFormat="1" ht="18" customHeight="1">
      <c r="A45" s="530" t="s">
        <v>832</v>
      </c>
    </row>
    <row r="46" spans="1:7" s="527" customFormat="1" ht="42" customHeight="1">
      <c r="B46" s="826" t="s">
        <v>833</v>
      </c>
      <c r="C46" s="826"/>
      <c r="D46" s="826"/>
      <c r="E46" s="826"/>
      <c r="F46" s="826"/>
      <c r="G46" s="826"/>
    </row>
    <row r="47" spans="1:7" s="527" customFormat="1" ht="42" customHeight="1">
      <c r="B47" s="826"/>
      <c r="C47" s="826"/>
      <c r="D47" s="826"/>
      <c r="E47" s="826"/>
      <c r="F47" s="826"/>
      <c r="G47" s="826"/>
    </row>
    <row r="48" spans="1:7" s="527" customFormat="1" ht="42" customHeight="1">
      <c r="B48" s="826"/>
      <c r="C48" s="826"/>
      <c r="D48" s="826"/>
      <c r="E48" s="826"/>
      <c r="F48" s="826"/>
      <c r="G48" s="826"/>
    </row>
    <row r="49" spans="1:7" s="527" customFormat="1" ht="15" customHeight="1"/>
    <row r="50" spans="1:7" s="531" customFormat="1" ht="23.25" customHeight="1">
      <c r="A50" s="513" t="s">
        <v>834</v>
      </c>
    </row>
    <row r="51" spans="1:7" s="527" customFormat="1" ht="36" customHeight="1">
      <c r="B51" s="827" t="s">
        <v>601</v>
      </c>
      <c r="C51" s="828"/>
      <c r="D51" s="828"/>
      <c r="E51" s="828"/>
      <c r="F51" s="828"/>
      <c r="G51" s="829"/>
    </row>
    <row r="52" spans="1:7" s="527" customFormat="1" ht="36" customHeight="1">
      <c r="B52" s="830"/>
      <c r="C52" s="831"/>
      <c r="D52" s="831"/>
      <c r="E52" s="831"/>
      <c r="F52" s="831"/>
      <c r="G52" s="832"/>
    </row>
    <row r="53" spans="1:7" s="527" customFormat="1" ht="40.5" customHeight="1">
      <c r="B53" s="830"/>
      <c r="C53" s="831"/>
      <c r="D53" s="831"/>
      <c r="E53" s="831"/>
      <c r="F53" s="831"/>
      <c r="G53" s="832"/>
    </row>
    <row r="54" spans="1:7" s="527" customFormat="1" ht="15" customHeight="1"/>
    <row r="55" spans="1:7" s="527" customFormat="1" ht="15" customHeight="1">
      <c r="A55" s="520" t="s">
        <v>835</v>
      </c>
    </row>
    <row r="56" spans="1:7" s="527" customFormat="1" ht="15" customHeight="1"/>
    <row r="57" spans="1:7" s="527" customFormat="1" ht="92.25" customHeight="1">
      <c r="B57" s="812" t="s">
        <v>836</v>
      </c>
      <c r="C57" s="813"/>
      <c r="D57" s="813"/>
      <c r="E57" s="813"/>
      <c r="F57" s="813"/>
      <c r="G57" s="814"/>
    </row>
    <row r="58" spans="1:7" s="527" customFormat="1"/>
    <row r="59" spans="1:7" s="527" customFormat="1">
      <c r="A59" s="520" t="s">
        <v>142</v>
      </c>
    </row>
    <row r="60" spans="1:7" s="527" customFormat="1"/>
    <row r="61" spans="1:7" s="527" customFormat="1" ht="15" customHeight="1">
      <c r="B61" s="786" t="s">
        <v>837</v>
      </c>
      <c r="C61" s="786" t="s">
        <v>143</v>
      </c>
      <c r="D61" s="786" t="s">
        <v>799</v>
      </c>
      <c r="E61" s="786" t="s">
        <v>75</v>
      </c>
      <c r="F61" s="786" t="s">
        <v>800</v>
      </c>
      <c r="G61" s="470" t="s">
        <v>146</v>
      </c>
    </row>
    <row r="62" spans="1:7" s="527" customFormat="1">
      <c r="B62" s="787"/>
      <c r="C62" s="787"/>
      <c r="D62" s="787"/>
      <c r="E62" s="787"/>
      <c r="F62" s="787"/>
      <c r="G62" s="470" t="str">
        <f>C15</f>
        <v>2027 և շարունակական</v>
      </c>
    </row>
    <row r="63" spans="1:7" ht="36" customHeight="1">
      <c r="B63" s="532"/>
      <c r="C63" s="503"/>
      <c r="D63" s="503"/>
      <c r="E63" s="503"/>
      <c r="F63" s="503"/>
      <c r="G63" s="503"/>
    </row>
    <row r="64" spans="1:7" ht="45" customHeight="1">
      <c r="B64" s="533"/>
      <c r="C64" s="24"/>
      <c r="D64" s="534"/>
      <c r="E64" s="534"/>
      <c r="F64" s="534"/>
      <c r="G64" s="503"/>
    </row>
    <row r="65" spans="1:7">
      <c r="B65" s="527"/>
    </row>
    <row r="66" spans="1:7">
      <c r="A66" s="520" t="s">
        <v>144</v>
      </c>
      <c r="B66" s="527"/>
    </row>
    <row r="67" spans="1:7">
      <c r="B67" s="527"/>
    </row>
    <row r="68" spans="1:7">
      <c r="B68" s="786" t="s">
        <v>838</v>
      </c>
      <c r="C68" s="786" t="s">
        <v>839</v>
      </c>
      <c r="D68" s="786" t="s">
        <v>799</v>
      </c>
      <c r="E68" s="786" t="s">
        <v>72</v>
      </c>
      <c r="F68" s="786" t="s">
        <v>800</v>
      </c>
      <c r="G68" s="470" t="s">
        <v>146</v>
      </c>
    </row>
    <row r="69" spans="1:7">
      <c r="B69" s="787"/>
      <c r="C69" s="787"/>
      <c r="D69" s="787"/>
      <c r="E69" s="787"/>
      <c r="F69" s="787"/>
      <c r="G69" s="470" t="str">
        <f>C15</f>
        <v>2027 և շարունակական</v>
      </c>
    </row>
    <row r="70" spans="1:7" ht="13.8" thickBot="1">
      <c r="B70" s="535"/>
      <c r="C70" s="535"/>
      <c r="D70" s="535"/>
      <c r="E70" s="535"/>
      <c r="F70" s="536"/>
      <c r="G70" s="470"/>
    </row>
    <row r="71" spans="1:7" ht="23.25" customHeight="1" thickBot="1">
      <c r="B71" s="537" t="s">
        <v>840</v>
      </c>
      <c r="C71" s="538"/>
      <c r="D71" s="539">
        <f>D72+D73+D74+D75+D76+D77+D78+D79+D80+D81+D82+D83+D84+D85</f>
        <v>417460</v>
      </c>
      <c r="E71" s="539">
        <f>E72+E73+E74+E75+E76+E77+E78+E79+E80+E81+E82+E83+E84+E85</f>
        <v>108560</v>
      </c>
      <c r="F71" s="539">
        <f>F72+F73+F74+F75+F76+F77+F78+F79+F80+F81+F82+F83+F84+F85</f>
        <v>103000</v>
      </c>
      <c r="G71" s="540">
        <v>2029</v>
      </c>
    </row>
    <row r="72" spans="1:7" ht="23.25" customHeight="1" thickBot="1">
      <c r="B72" s="541" t="s">
        <v>841</v>
      </c>
      <c r="C72" s="542"/>
      <c r="D72" s="543">
        <v>2000</v>
      </c>
      <c r="E72" s="543">
        <v>2000</v>
      </c>
      <c r="F72" s="544">
        <v>1000</v>
      </c>
      <c r="G72" s="540">
        <v>2029</v>
      </c>
    </row>
    <row r="73" spans="1:7" ht="23.25" customHeight="1" thickBot="1">
      <c r="B73" s="541" t="s">
        <v>842</v>
      </c>
      <c r="C73" s="542"/>
      <c r="D73" s="543">
        <v>200</v>
      </c>
      <c r="E73" s="543"/>
      <c r="F73" s="544"/>
      <c r="G73" s="540">
        <v>2029</v>
      </c>
    </row>
    <row r="74" spans="1:7" ht="23.25" customHeight="1" thickBot="1">
      <c r="B74" s="545" t="s">
        <v>843</v>
      </c>
      <c r="C74" s="542"/>
      <c r="D74" s="543">
        <v>7000</v>
      </c>
      <c r="E74" s="543"/>
      <c r="F74" s="544"/>
      <c r="G74" s="540">
        <v>2029</v>
      </c>
    </row>
    <row r="75" spans="1:7" ht="23.25" customHeight="1" thickBot="1">
      <c r="B75" s="545" t="s">
        <v>844</v>
      </c>
      <c r="C75" s="542"/>
      <c r="D75" s="543">
        <v>1000</v>
      </c>
      <c r="E75" s="543"/>
      <c r="F75" s="544"/>
      <c r="G75" s="540">
        <v>2029</v>
      </c>
    </row>
    <row r="76" spans="1:7" ht="23.25" customHeight="1" thickBot="1">
      <c r="B76" s="546" t="s">
        <v>845</v>
      </c>
      <c r="C76" s="542"/>
      <c r="D76" s="543">
        <v>15000</v>
      </c>
      <c r="E76" s="543"/>
      <c r="F76" s="544"/>
      <c r="G76" s="540">
        <v>2029</v>
      </c>
    </row>
    <row r="77" spans="1:7" ht="20.25" customHeight="1" thickBot="1">
      <c r="B77" s="545" t="s">
        <v>846</v>
      </c>
      <c r="C77" s="547"/>
      <c r="D77" s="548"/>
      <c r="E77" s="548">
        <v>3500</v>
      </c>
      <c r="F77" s="549"/>
      <c r="G77" s="540">
        <v>2029</v>
      </c>
    </row>
    <row r="78" spans="1:7" ht="32.25" customHeight="1" thickBot="1">
      <c r="B78" s="545" t="s">
        <v>847</v>
      </c>
      <c r="C78" s="547"/>
      <c r="D78" s="548">
        <v>160</v>
      </c>
      <c r="E78" s="548">
        <v>160</v>
      </c>
      <c r="F78" s="549"/>
      <c r="G78" s="540">
        <v>2029</v>
      </c>
    </row>
    <row r="79" spans="1:7" ht="34.5" customHeight="1" thickBot="1">
      <c r="B79" s="546" t="s">
        <v>848</v>
      </c>
      <c r="C79" s="547"/>
      <c r="D79" s="548"/>
      <c r="E79" s="548">
        <v>400</v>
      </c>
      <c r="F79" s="550"/>
      <c r="G79" s="540">
        <v>2029</v>
      </c>
    </row>
    <row r="80" spans="1:7" ht="34.5" customHeight="1" thickBot="1">
      <c r="B80" s="546" t="s">
        <v>849</v>
      </c>
      <c r="C80" s="547"/>
      <c r="D80" s="548">
        <v>80000</v>
      </c>
      <c r="E80" s="548">
        <v>100000</v>
      </c>
      <c r="F80" s="550">
        <v>100000</v>
      </c>
      <c r="G80" s="540">
        <v>2029</v>
      </c>
    </row>
    <row r="81" spans="2:7" ht="34.5" customHeight="1" thickBot="1">
      <c r="B81" s="551" t="s">
        <v>850</v>
      </c>
      <c r="C81" s="547"/>
      <c r="D81" s="548">
        <v>500</v>
      </c>
      <c r="E81" s="548">
        <v>500</v>
      </c>
      <c r="F81" s="550"/>
      <c r="G81" s="540">
        <v>2029</v>
      </c>
    </row>
    <row r="82" spans="2:7" ht="34.5" customHeight="1" thickBot="1">
      <c r="B82" s="551" t="s">
        <v>851</v>
      </c>
      <c r="C82" s="547"/>
      <c r="D82" s="548">
        <v>15000</v>
      </c>
      <c r="E82" s="548"/>
      <c r="F82" s="550"/>
      <c r="G82" s="540">
        <v>2029</v>
      </c>
    </row>
    <row r="83" spans="2:7" ht="54" customHeight="1" thickBot="1">
      <c r="B83" s="551" t="s">
        <v>852</v>
      </c>
      <c r="C83" s="547"/>
      <c r="D83" s="548">
        <v>270000</v>
      </c>
      <c r="E83" s="548"/>
      <c r="F83" s="550"/>
      <c r="G83" s="540">
        <v>2029</v>
      </c>
    </row>
    <row r="84" spans="2:7" ht="59.25" customHeight="1" thickBot="1">
      <c r="B84" s="551" t="s">
        <v>853</v>
      </c>
      <c r="C84" s="547"/>
      <c r="D84" s="548">
        <v>25000</v>
      </c>
      <c r="E84" s="548"/>
      <c r="F84" s="550"/>
      <c r="G84" s="540">
        <v>2029</v>
      </c>
    </row>
    <row r="85" spans="2:7" ht="34.5" customHeight="1" thickBot="1">
      <c r="B85" s="552" t="s">
        <v>854</v>
      </c>
      <c r="C85" s="547"/>
      <c r="D85" s="548">
        <v>1600</v>
      </c>
      <c r="E85" s="548">
        <v>2000</v>
      </c>
      <c r="F85" s="550">
        <v>2000</v>
      </c>
      <c r="G85" s="540">
        <v>2029</v>
      </c>
    </row>
    <row r="86" spans="2:7" ht="33.75" customHeight="1">
      <c r="B86" s="476" t="s">
        <v>855</v>
      </c>
      <c r="C86" s="553"/>
      <c r="D86" s="539">
        <f>D87+D88+D89+D90+D91+D92+D93+D94</f>
        <v>32000</v>
      </c>
      <c r="E86" s="539">
        <f>E87+E88+E89+E90+E91+E92+E93+E94</f>
        <v>9000</v>
      </c>
      <c r="F86" s="539">
        <f>F87+F88+F89+F90+F91+F92+F93+F94</f>
        <v>21000</v>
      </c>
      <c r="G86" s="540"/>
    </row>
    <row r="87" spans="2:7" ht="33.75" customHeight="1">
      <c r="B87" s="478" t="s">
        <v>856</v>
      </c>
      <c r="C87" s="554"/>
      <c r="D87" s="543">
        <v>2000</v>
      </c>
      <c r="E87" s="543">
        <v>2000</v>
      </c>
      <c r="F87" s="544">
        <v>2000</v>
      </c>
      <c r="G87" s="555"/>
    </row>
    <row r="88" spans="2:7" ht="33.75" customHeight="1">
      <c r="B88" s="551" t="s">
        <v>857</v>
      </c>
      <c r="C88" s="554"/>
      <c r="D88" s="543">
        <v>3000</v>
      </c>
      <c r="E88" s="543">
        <v>3000</v>
      </c>
      <c r="F88" s="544"/>
      <c r="G88" s="555"/>
    </row>
    <row r="89" spans="2:7" ht="33.75" customHeight="1">
      <c r="B89" s="551" t="s">
        <v>858</v>
      </c>
      <c r="C89" s="554"/>
      <c r="D89" s="543">
        <v>3500</v>
      </c>
      <c r="E89" s="543"/>
      <c r="F89" s="544"/>
      <c r="G89" s="555"/>
    </row>
    <row r="90" spans="2:7" ht="33.75" customHeight="1">
      <c r="B90" s="551" t="s">
        <v>859</v>
      </c>
      <c r="C90" s="554"/>
      <c r="D90" s="543">
        <v>3000</v>
      </c>
      <c r="E90" s="543"/>
      <c r="F90" s="544"/>
      <c r="G90" s="555"/>
    </row>
    <row r="91" spans="2:7" ht="33.75" customHeight="1">
      <c r="B91" s="551" t="s">
        <v>860</v>
      </c>
      <c r="C91" s="554"/>
      <c r="D91" s="543">
        <v>500</v>
      </c>
      <c r="E91" s="543"/>
      <c r="F91" s="544"/>
      <c r="G91" s="555"/>
    </row>
    <row r="92" spans="2:7" ht="60" customHeight="1">
      <c r="B92" s="478" t="s">
        <v>861</v>
      </c>
      <c r="C92" s="554"/>
      <c r="D92" s="543">
        <v>1000</v>
      </c>
      <c r="E92" s="543"/>
      <c r="F92" s="544"/>
      <c r="G92" s="555"/>
    </row>
    <row r="93" spans="2:7" ht="32.25" customHeight="1">
      <c r="B93" s="551" t="s">
        <v>862</v>
      </c>
      <c r="C93" s="556"/>
      <c r="D93" s="548">
        <v>4000</v>
      </c>
      <c r="E93" s="548">
        <v>4000</v>
      </c>
      <c r="F93" s="550">
        <v>4000</v>
      </c>
      <c r="G93" s="557" t="s">
        <v>647</v>
      </c>
    </row>
    <row r="94" spans="2:7" ht="30">
      <c r="B94" s="551" t="s">
        <v>863</v>
      </c>
      <c r="C94" s="558"/>
      <c r="D94" s="548">
        <v>15000</v>
      </c>
      <c r="E94" s="548"/>
      <c r="F94" s="559">
        <v>15000</v>
      </c>
      <c r="G94" s="557" t="s">
        <v>647</v>
      </c>
    </row>
    <row r="95" spans="2:7" ht="13.8" thickBot="1">
      <c r="B95" s="478"/>
      <c r="C95" s="560"/>
      <c r="D95" s="561"/>
      <c r="E95" s="561"/>
      <c r="F95" s="562"/>
      <c r="G95" s="563" t="s">
        <v>647</v>
      </c>
    </row>
    <row r="96" spans="2:7" ht="24.75" customHeight="1" thickBot="1">
      <c r="B96" s="564" t="s">
        <v>9</v>
      </c>
      <c r="C96" s="565"/>
      <c r="D96" s="566">
        <f>D86+D71</f>
        <v>449460</v>
      </c>
      <c r="E96" s="566">
        <f>E86+E71</f>
        <v>117560</v>
      </c>
      <c r="F96" s="566">
        <f>F86+F71</f>
        <v>124000</v>
      </c>
      <c r="G96" s="567"/>
    </row>
    <row r="97" spans="1:7">
      <c r="B97" s="568"/>
    </row>
    <row r="98" spans="1:7">
      <c r="A98" s="520" t="s">
        <v>147</v>
      </c>
      <c r="B98" s="568"/>
    </row>
    <row r="99" spans="1:7">
      <c r="B99" s="568"/>
    </row>
    <row r="100" spans="1:7">
      <c r="B100" s="852" t="s">
        <v>864</v>
      </c>
      <c r="C100" s="853" t="s">
        <v>865</v>
      </c>
      <c r="D100" s="786" t="s">
        <v>799</v>
      </c>
      <c r="E100" s="786" t="s">
        <v>72</v>
      </c>
      <c r="F100" s="786" t="s">
        <v>800</v>
      </c>
      <c r="G100" s="470" t="s">
        <v>146</v>
      </c>
    </row>
    <row r="101" spans="1:7">
      <c r="B101" s="852"/>
      <c r="C101" s="854"/>
      <c r="D101" s="787"/>
      <c r="E101" s="787"/>
      <c r="F101" s="787"/>
      <c r="G101" s="470"/>
    </row>
    <row r="102" spans="1:7" ht="26.4">
      <c r="B102" s="469" t="s">
        <v>148</v>
      </c>
      <c r="C102" s="569" t="s">
        <v>10</v>
      </c>
      <c r="D102" s="508">
        <f>D96</f>
        <v>449460</v>
      </c>
      <c r="E102" s="508">
        <f>E96</f>
        <v>117560</v>
      </c>
      <c r="F102" s="508">
        <f>F96</f>
        <v>124000</v>
      </c>
      <c r="G102" s="142"/>
    </row>
    <row r="103" spans="1:7">
      <c r="B103" s="570" t="s">
        <v>149</v>
      </c>
      <c r="C103" s="569" t="s">
        <v>10</v>
      </c>
      <c r="D103" s="548">
        <f>D102</f>
        <v>449460</v>
      </c>
      <c r="E103" s="548">
        <f>E102</f>
        <v>117560</v>
      </c>
      <c r="F103" s="549">
        <f>F102</f>
        <v>124000</v>
      </c>
      <c r="G103" s="571"/>
    </row>
    <row r="104" spans="1:7" ht="30" customHeight="1">
      <c r="B104" s="570" t="s">
        <v>150</v>
      </c>
      <c r="C104" s="569" t="s">
        <v>10</v>
      </c>
      <c r="D104" s="572"/>
      <c r="E104" s="572"/>
      <c r="F104" s="573"/>
      <c r="G104" s="132"/>
    </row>
    <row r="105" spans="1:7">
      <c r="B105" s="574" t="s">
        <v>151</v>
      </c>
      <c r="C105" s="569" t="s">
        <v>10</v>
      </c>
      <c r="D105" s="575">
        <f>SUM(D106:D107)</f>
        <v>0</v>
      </c>
      <c r="E105" s="575">
        <f t="shared" ref="E105:G105" si="0">SUM(E106:E107)</f>
        <v>0</v>
      </c>
      <c r="F105" s="575">
        <f t="shared" si="0"/>
        <v>0</v>
      </c>
      <c r="G105" s="142">
        <f t="shared" si="0"/>
        <v>0</v>
      </c>
    </row>
    <row r="106" spans="1:7">
      <c r="B106" s="478"/>
      <c r="C106" s="569" t="s">
        <v>10</v>
      </c>
      <c r="D106" s="572"/>
      <c r="E106" s="572"/>
      <c r="F106" s="573"/>
      <c r="G106" s="132"/>
    </row>
    <row r="107" spans="1:7">
      <c r="B107" s="478"/>
      <c r="C107" s="569" t="s">
        <v>10</v>
      </c>
      <c r="D107" s="572"/>
      <c r="E107" s="572"/>
      <c r="F107" s="573"/>
      <c r="G107" s="132"/>
    </row>
    <row r="108" spans="1:7" ht="27" customHeight="1">
      <c r="B108" s="469" t="s">
        <v>152</v>
      </c>
      <c r="C108" s="569" t="s">
        <v>10</v>
      </c>
      <c r="D108" s="576">
        <f>D102-D105-D104</f>
        <v>449460</v>
      </c>
      <c r="E108" s="576">
        <f t="shared" ref="E108:G108" si="1">E102-E105-E104</f>
        <v>117560</v>
      </c>
      <c r="F108" s="576">
        <f t="shared" si="1"/>
        <v>124000</v>
      </c>
      <c r="G108" s="142">
        <f t="shared" si="1"/>
        <v>0</v>
      </c>
    </row>
    <row r="109" spans="1:7">
      <c r="B109" s="568"/>
    </row>
    <row r="110" spans="1:7" ht="19.5" customHeight="1">
      <c r="A110" s="520" t="s">
        <v>185</v>
      </c>
      <c r="B110" s="568"/>
    </row>
    <row r="111" spans="1:7" ht="21" customHeight="1">
      <c r="B111" s="568"/>
    </row>
    <row r="112" spans="1:7">
      <c r="B112" s="469" t="s">
        <v>866</v>
      </c>
      <c r="C112" s="847"/>
      <c r="D112" s="847"/>
      <c r="E112" s="848"/>
    </row>
    <row r="113" spans="1:7">
      <c r="B113" s="568"/>
    </row>
    <row r="114" spans="1:7" ht="13.8">
      <c r="A114" s="520" t="s">
        <v>867</v>
      </c>
      <c r="B114" s="577"/>
    </row>
    <row r="115" spans="1:7">
      <c r="B115" s="568"/>
    </row>
    <row r="116" spans="1:7">
      <c r="B116" s="469" t="s">
        <v>186</v>
      </c>
      <c r="C116" s="847"/>
      <c r="D116" s="847"/>
      <c r="E116" s="848"/>
    </row>
    <row r="117" spans="1:7">
      <c r="B117" s="469" t="s">
        <v>187</v>
      </c>
      <c r="C117" s="847"/>
      <c r="D117" s="847"/>
      <c r="E117" s="848"/>
    </row>
    <row r="118" spans="1:7" ht="24.75" customHeight="1">
      <c r="A118" s="520" t="s">
        <v>868</v>
      </c>
      <c r="B118" s="568"/>
    </row>
    <row r="119" spans="1:7">
      <c r="B119" s="568"/>
    </row>
    <row r="120" spans="1:7" ht="169.5" customHeight="1">
      <c r="B120" s="849" t="s">
        <v>869</v>
      </c>
      <c r="C120" s="850"/>
      <c r="D120" s="850"/>
      <c r="E120" s="850"/>
      <c r="F120" s="850"/>
      <c r="G120" s="851"/>
    </row>
  </sheetData>
  <mergeCells count="33">
    <mergeCell ref="C112:E112"/>
    <mergeCell ref="C116:E116"/>
    <mergeCell ref="C117:E117"/>
    <mergeCell ref="B120:G120"/>
    <mergeCell ref="B100:B101"/>
    <mergeCell ref="C100:C101"/>
    <mergeCell ref="D100:D101"/>
    <mergeCell ref="E100:E101"/>
    <mergeCell ref="F100:F101"/>
    <mergeCell ref="B68:B69"/>
    <mergeCell ref="C68:C69"/>
    <mergeCell ref="D68:D69"/>
    <mergeCell ref="E68:E69"/>
    <mergeCell ref="F68:F69"/>
    <mergeCell ref="C13:E13"/>
    <mergeCell ref="C14:E14"/>
    <mergeCell ref="C18:E18"/>
    <mergeCell ref="C33:G33"/>
    <mergeCell ref="B35:B38"/>
    <mergeCell ref="B2:E2"/>
    <mergeCell ref="C6:E6"/>
    <mergeCell ref="C7:E7"/>
    <mergeCell ref="C11:E11"/>
    <mergeCell ref="C12:E12"/>
    <mergeCell ref="B40:B42"/>
    <mergeCell ref="B46:G48"/>
    <mergeCell ref="B51:G53"/>
    <mergeCell ref="B57:G57"/>
    <mergeCell ref="B61:B62"/>
    <mergeCell ref="C61:C62"/>
    <mergeCell ref="D61:D62"/>
    <mergeCell ref="E61:E62"/>
    <mergeCell ref="F61:F62"/>
  </mergeCells>
  <dataValidations count="3">
    <dataValidation type="list" allowBlank="1" showInputMessage="1" showErrorMessage="1" sqref="C21:C22 C25">
      <formula1>$H$3:$H$5</formula1>
    </dataValidation>
    <dataValidation type="list" allowBlank="1" showInputMessage="1" showErrorMessage="1" sqref="C24">
      <formula1>$I$3:$I$4</formula1>
    </dataValidation>
    <dataValidation type="list" allowBlank="1" showInputMessage="1" showErrorMessage="1" sqref="B30">
      <formula1>$J$3:$J$5</formula1>
    </dataValidation>
  </dataValidations>
  <hyperlinks>
    <hyperlink ref="C26" location="_ftn1" display="_ftn1"/>
    <hyperlink ref="D26" location="_ftn2" display="_ftn2"/>
    <hyperlink ref="E26" location="_ftn3" display="_ftn3"/>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8913" r:id="rId4" name="Check Box 1">
              <controlPr defaultSize="0" autoFill="0" autoLine="0" autoPict="0">
                <anchor moveWithCells="1">
                  <from>
                    <xdr:col>2</xdr:col>
                    <xdr:colOff>99060</xdr:colOff>
                    <xdr:row>32</xdr:row>
                    <xdr:rowOff>0</xdr:rowOff>
                  </from>
                  <to>
                    <xdr:col>4</xdr:col>
                    <xdr:colOff>1013460</xdr:colOff>
                    <xdr:row>33</xdr:row>
                    <xdr:rowOff>7620</xdr:rowOff>
                  </to>
                </anchor>
              </controlPr>
            </control>
          </mc:Choice>
        </mc:AlternateContent>
        <mc:AlternateContent xmlns:mc="http://schemas.openxmlformats.org/markup-compatibility/2006">
          <mc:Choice Requires="x14">
            <control shapeId="38914" r:id="rId5" name="Check Box 2">
              <controlPr defaultSize="0" autoFill="0" autoLine="0" autoPict="0">
                <anchor moveWithCells="1">
                  <from>
                    <xdr:col>2</xdr:col>
                    <xdr:colOff>99060</xdr:colOff>
                    <xdr:row>34</xdr:row>
                    <xdr:rowOff>0</xdr:rowOff>
                  </from>
                  <to>
                    <xdr:col>5</xdr:col>
                    <xdr:colOff>822960</xdr:colOff>
                    <xdr:row>34</xdr:row>
                    <xdr:rowOff>160020</xdr:rowOff>
                  </to>
                </anchor>
              </controlPr>
            </control>
          </mc:Choice>
        </mc:AlternateContent>
        <mc:AlternateContent xmlns:mc="http://schemas.openxmlformats.org/markup-compatibility/2006">
          <mc:Choice Requires="x14">
            <control shapeId="38915" r:id="rId6" name="Check Box 3">
              <controlPr defaultSize="0" autoFill="0" autoLine="0" autoPict="0">
                <anchor moveWithCells="1">
                  <from>
                    <xdr:col>2</xdr:col>
                    <xdr:colOff>99060</xdr:colOff>
                    <xdr:row>32</xdr:row>
                    <xdr:rowOff>182880</xdr:rowOff>
                  </from>
                  <to>
                    <xdr:col>6</xdr:col>
                    <xdr:colOff>769620</xdr:colOff>
                    <xdr:row>33</xdr:row>
                    <xdr:rowOff>182880</xdr:rowOff>
                  </to>
                </anchor>
              </controlPr>
            </control>
          </mc:Choice>
        </mc:AlternateContent>
        <mc:AlternateContent xmlns:mc="http://schemas.openxmlformats.org/markup-compatibility/2006">
          <mc:Choice Requires="x14">
            <control shapeId="38916" r:id="rId7" name="Check Box 4">
              <controlPr defaultSize="0" autoFill="0" autoLine="0" autoPict="0">
                <anchor moveWithCells="1">
                  <from>
                    <xdr:col>2</xdr:col>
                    <xdr:colOff>38100</xdr:colOff>
                    <xdr:row>36</xdr:row>
                    <xdr:rowOff>30480</xdr:rowOff>
                  </from>
                  <to>
                    <xdr:col>19</xdr:col>
                    <xdr:colOff>114300</xdr:colOff>
                    <xdr:row>36</xdr:row>
                    <xdr:rowOff>160020</xdr:rowOff>
                  </to>
                </anchor>
              </controlPr>
            </control>
          </mc:Choice>
        </mc:AlternateContent>
        <mc:AlternateContent xmlns:mc="http://schemas.openxmlformats.org/markup-compatibility/2006">
          <mc:Choice Requires="x14">
            <control shapeId="38917" r:id="rId8" name="Check Box 5">
              <controlPr defaultSize="0" autoFill="0" autoLine="0" autoPict="0">
                <anchor moveWithCells="1">
                  <from>
                    <xdr:col>2</xdr:col>
                    <xdr:colOff>45720</xdr:colOff>
                    <xdr:row>37</xdr:row>
                    <xdr:rowOff>30480</xdr:rowOff>
                  </from>
                  <to>
                    <xdr:col>19</xdr:col>
                    <xdr:colOff>502920</xdr:colOff>
                    <xdr:row>38</xdr:row>
                    <xdr:rowOff>0</xdr:rowOff>
                  </to>
                </anchor>
              </controlPr>
            </control>
          </mc:Choice>
        </mc:AlternateContent>
        <mc:AlternateContent xmlns:mc="http://schemas.openxmlformats.org/markup-compatibility/2006">
          <mc:Choice Requires="x14">
            <control shapeId="38918" r:id="rId9" name="Check Box 6">
              <controlPr defaultSize="0" autoFill="0" autoLine="0" autoPict="0">
                <anchor moveWithCells="1">
                  <from>
                    <xdr:col>2</xdr:col>
                    <xdr:colOff>45720</xdr:colOff>
                    <xdr:row>38</xdr:row>
                    <xdr:rowOff>7620</xdr:rowOff>
                  </from>
                  <to>
                    <xdr:col>17</xdr:col>
                    <xdr:colOff>419100</xdr:colOff>
                    <xdr:row>39</xdr:row>
                    <xdr:rowOff>0</xdr:rowOff>
                  </to>
                </anchor>
              </controlPr>
            </control>
          </mc:Choice>
        </mc:AlternateContent>
        <mc:AlternateContent xmlns:mc="http://schemas.openxmlformats.org/markup-compatibility/2006">
          <mc:Choice Requires="x14">
            <control shapeId="38919" r:id="rId10" name="Check Box 7">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38920" r:id="rId11" name="Check Box 8">
              <controlPr defaultSize="0" autoFill="0" autoLine="0" autoPict="0">
                <anchor moveWithCells="1">
                  <from>
                    <xdr:col>2</xdr:col>
                    <xdr:colOff>99060</xdr:colOff>
                    <xdr:row>32</xdr:row>
                    <xdr:rowOff>0</xdr:rowOff>
                  </from>
                  <to>
                    <xdr:col>4</xdr:col>
                    <xdr:colOff>1013460</xdr:colOff>
                    <xdr:row>33</xdr:row>
                    <xdr:rowOff>7620</xdr:rowOff>
                  </to>
                </anchor>
              </controlPr>
            </control>
          </mc:Choice>
        </mc:AlternateContent>
        <mc:AlternateContent xmlns:mc="http://schemas.openxmlformats.org/markup-compatibility/2006">
          <mc:Choice Requires="x14">
            <control shapeId="38921" r:id="rId12" name="Check Box 9">
              <controlPr defaultSize="0" autoFill="0" autoLine="0" autoPict="0">
                <anchor moveWithCells="1">
                  <from>
                    <xdr:col>2</xdr:col>
                    <xdr:colOff>99060</xdr:colOff>
                    <xdr:row>34</xdr:row>
                    <xdr:rowOff>0</xdr:rowOff>
                  </from>
                  <to>
                    <xdr:col>5</xdr:col>
                    <xdr:colOff>822960</xdr:colOff>
                    <xdr:row>34</xdr:row>
                    <xdr:rowOff>160020</xdr:rowOff>
                  </to>
                </anchor>
              </controlPr>
            </control>
          </mc:Choice>
        </mc:AlternateContent>
        <mc:AlternateContent xmlns:mc="http://schemas.openxmlformats.org/markup-compatibility/2006">
          <mc:Choice Requires="x14">
            <control shapeId="38922" r:id="rId13" name="Check Box 10">
              <controlPr defaultSize="0" autoFill="0" autoLine="0" autoPict="0">
                <anchor moveWithCells="1">
                  <from>
                    <xdr:col>2</xdr:col>
                    <xdr:colOff>99060</xdr:colOff>
                    <xdr:row>32</xdr:row>
                    <xdr:rowOff>182880</xdr:rowOff>
                  </from>
                  <to>
                    <xdr:col>6</xdr:col>
                    <xdr:colOff>769620</xdr:colOff>
                    <xdr:row>33</xdr:row>
                    <xdr:rowOff>182880</xdr:rowOff>
                  </to>
                </anchor>
              </controlPr>
            </control>
          </mc:Choice>
        </mc:AlternateContent>
        <mc:AlternateContent xmlns:mc="http://schemas.openxmlformats.org/markup-compatibility/2006">
          <mc:Choice Requires="x14">
            <control shapeId="38923" r:id="rId14" name="Check Box 11">
              <controlPr defaultSize="0" autoFill="0" autoLine="0" autoPict="0">
                <anchor moveWithCells="1">
                  <from>
                    <xdr:col>2</xdr:col>
                    <xdr:colOff>45720</xdr:colOff>
                    <xdr:row>38</xdr:row>
                    <xdr:rowOff>7620</xdr:rowOff>
                  </from>
                  <to>
                    <xdr:col>17</xdr:col>
                    <xdr:colOff>419100</xdr:colOff>
                    <xdr:row>39</xdr:row>
                    <xdr:rowOff>0</xdr:rowOff>
                  </to>
                </anchor>
              </controlPr>
            </control>
          </mc:Choice>
        </mc:AlternateContent>
        <mc:AlternateContent xmlns:mc="http://schemas.openxmlformats.org/markup-compatibility/2006">
          <mc:Choice Requires="x14">
            <control shapeId="38924" r:id="rId15" name="Check Box 12">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38925" r:id="rId16" name="Check Box 13">
              <controlPr defaultSize="0" autoFill="0" autoLine="0" autoPict="0">
                <anchor moveWithCells="1">
                  <from>
                    <xdr:col>2</xdr:col>
                    <xdr:colOff>99060</xdr:colOff>
                    <xdr:row>32</xdr:row>
                    <xdr:rowOff>0</xdr:rowOff>
                  </from>
                  <to>
                    <xdr:col>4</xdr:col>
                    <xdr:colOff>1013460</xdr:colOff>
                    <xdr:row>33</xdr:row>
                    <xdr:rowOff>7620</xdr:rowOff>
                  </to>
                </anchor>
              </controlPr>
            </control>
          </mc:Choice>
        </mc:AlternateContent>
        <mc:AlternateContent xmlns:mc="http://schemas.openxmlformats.org/markup-compatibility/2006">
          <mc:Choice Requires="x14">
            <control shapeId="38926" r:id="rId17" name="Check Box 14">
              <controlPr defaultSize="0" autoFill="0" autoLine="0" autoPict="0">
                <anchor moveWithCells="1">
                  <from>
                    <xdr:col>2</xdr:col>
                    <xdr:colOff>99060</xdr:colOff>
                    <xdr:row>34</xdr:row>
                    <xdr:rowOff>0</xdr:rowOff>
                  </from>
                  <to>
                    <xdr:col>5</xdr:col>
                    <xdr:colOff>822960</xdr:colOff>
                    <xdr:row>34</xdr:row>
                    <xdr:rowOff>160020</xdr:rowOff>
                  </to>
                </anchor>
              </controlPr>
            </control>
          </mc:Choice>
        </mc:AlternateContent>
        <mc:AlternateContent xmlns:mc="http://schemas.openxmlformats.org/markup-compatibility/2006">
          <mc:Choice Requires="x14">
            <control shapeId="38927" r:id="rId18" name="Check Box 15">
              <controlPr defaultSize="0" autoFill="0" autoLine="0" autoPict="0">
                <anchor moveWithCells="1">
                  <from>
                    <xdr:col>2</xdr:col>
                    <xdr:colOff>99060</xdr:colOff>
                    <xdr:row>32</xdr:row>
                    <xdr:rowOff>182880</xdr:rowOff>
                  </from>
                  <to>
                    <xdr:col>6</xdr:col>
                    <xdr:colOff>769620</xdr:colOff>
                    <xdr:row>33</xdr:row>
                    <xdr:rowOff>182880</xdr:rowOff>
                  </to>
                </anchor>
              </controlPr>
            </control>
          </mc:Choice>
        </mc:AlternateContent>
        <mc:AlternateContent xmlns:mc="http://schemas.openxmlformats.org/markup-compatibility/2006">
          <mc:Choice Requires="x14">
            <control shapeId="38928" r:id="rId19" name="Check Box 16">
              <controlPr defaultSize="0" autoFill="0" autoLine="0" autoPict="0">
                <anchor moveWithCells="1">
                  <from>
                    <xdr:col>2</xdr:col>
                    <xdr:colOff>38100</xdr:colOff>
                    <xdr:row>36</xdr:row>
                    <xdr:rowOff>30480</xdr:rowOff>
                  </from>
                  <to>
                    <xdr:col>19</xdr:col>
                    <xdr:colOff>114300</xdr:colOff>
                    <xdr:row>36</xdr:row>
                    <xdr:rowOff>160020</xdr:rowOff>
                  </to>
                </anchor>
              </controlPr>
            </control>
          </mc:Choice>
        </mc:AlternateContent>
        <mc:AlternateContent xmlns:mc="http://schemas.openxmlformats.org/markup-compatibility/2006">
          <mc:Choice Requires="x14">
            <control shapeId="38929" r:id="rId20" name="Check Box 17">
              <controlPr defaultSize="0" autoFill="0" autoLine="0" autoPict="0">
                <anchor moveWithCells="1">
                  <from>
                    <xdr:col>2</xdr:col>
                    <xdr:colOff>45720</xdr:colOff>
                    <xdr:row>37</xdr:row>
                    <xdr:rowOff>30480</xdr:rowOff>
                  </from>
                  <to>
                    <xdr:col>19</xdr:col>
                    <xdr:colOff>502920</xdr:colOff>
                    <xdr:row>38</xdr:row>
                    <xdr:rowOff>0</xdr:rowOff>
                  </to>
                </anchor>
              </controlPr>
            </control>
          </mc:Choice>
        </mc:AlternateContent>
        <mc:AlternateContent xmlns:mc="http://schemas.openxmlformats.org/markup-compatibility/2006">
          <mc:Choice Requires="x14">
            <control shapeId="38930" r:id="rId21" name="Check Box 18">
              <controlPr defaultSize="0" autoFill="0" autoLine="0" autoPict="0">
                <anchor moveWithCells="1">
                  <from>
                    <xdr:col>2</xdr:col>
                    <xdr:colOff>45720</xdr:colOff>
                    <xdr:row>38</xdr:row>
                    <xdr:rowOff>7620</xdr:rowOff>
                  </from>
                  <to>
                    <xdr:col>17</xdr:col>
                    <xdr:colOff>419100</xdr:colOff>
                    <xdr:row>39</xdr:row>
                    <xdr:rowOff>0</xdr:rowOff>
                  </to>
                </anchor>
              </controlPr>
            </control>
          </mc:Choice>
        </mc:AlternateContent>
        <mc:AlternateContent xmlns:mc="http://schemas.openxmlformats.org/markup-compatibility/2006">
          <mc:Choice Requires="x14">
            <control shapeId="38931" r:id="rId22" name="Check Box 19">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38932" r:id="rId23" name="Check Box 20">
              <controlPr defaultSize="0" autoFill="0" autoLine="0" autoPict="0">
                <anchor moveWithCells="1">
                  <from>
                    <xdr:col>2</xdr:col>
                    <xdr:colOff>99060</xdr:colOff>
                    <xdr:row>32</xdr:row>
                    <xdr:rowOff>0</xdr:rowOff>
                  </from>
                  <to>
                    <xdr:col>4</xdr:col>
                    <xdr:colOff>1013460</xdr:colOff>
                    <xdr:row>33</xdr:row>
                    <xdr:rowOff>7620</xdr:rowOff>
                  </to>
                </anchor>
              </controlPr>
            </control>
          </mc:Choice>
        </mc:AlternateContent>
        <mc:AlternateContent xmlns:mc="http://schemas.openxmlformats.org/markup-compatibility/2006">
          <mc:Choice Requires="x14">
            <control shapeId="38933" r:id="rId24" name="Check Box 21">
              <controlPr defaultSize="0" autoFill="0" autoLine="0" autoPict="0">
                <anchor moveWithCells="1">
                  <from>
                    <xdr:col>2</xdr:col>
                    <xdr:colOff>99060</xdr:colOff>
                    <xdr:row>34</xdr:row>
                    <xdr:rowOff>0</xdr:rowOff>
                  </from>
                  <to>
                    <xdr:col>5</xdr:col>
                    <xdr:colOff>822960</xdr:colOff>
                    <xdr:row>34</xdr:row>
                    <xdr:rowOff>160020</xdr:rowOff>
                  </to>
                </anchor>
              </controlPr>
            </control>
          </mc:Choice>
        </mc:AlternateContent>
        <mc:AlternateContent xmlns:mc="http://schemas.openxmlformats.org/markup-compatibility/2006">
          <mc:Choice Requires="x14">
            <control shapeId="38934" r:id="rId25" name="Check Box 22">
              <controlPr defaultSize="0" autoFill="0" autoLine="0" autoPict="0">
                <anchor moveWithCells="1">
                  <from>
                    <xdr:col>2</xdr:col>
                    <xdr:colOff>99060</xdr:colOff>
                    <xdr:row>32</xdr:row>
                    <xdr:rowOff>182880</xdr:rowOff>
                  </from>
                  <to>
                    <xdr:col>6</xdr:col>
                    <xdr:colOff>769620</xdr:colOff>
                    <xdr:row>33</xdr:row>
                    <xdr:rowOff>182880</xdr:rowOff>
                  </to>
                </anchor>
              </controlPr>
            </control>
          </mc:Choice>
        </mc:AlternateContent>
        <mc:AlternateContent xmlns:mc="http://schemas.openxmlformats.org/markup-compatibility/2006">
          <mc:Choice Requires="x14">
            <control shapeId="38935" r:id="rId26" name="Check Box 23">
              <controlPr defaultSize="0" autoFill="0" autoLine="0" autoPict="0">
                <anchor moveWithCells="1">
                  <from>
                    <xdr:col>2</xdr:col>
                    <xdr:colOff>45720</xdr:colOff>
                    <xdr:row>38</xdr:row>
                    <xdr:rowOff>7620</xdr:rowOff>
                  </from>
                  <to>
                    <xdr:col>17</xdr:col>
                    <xdr:colOff>419100</xdr:colOff>
                    <xdr:row>39</xdr:row>
                    <xdr:rowOff>0</xdr:rowOff>
                  </to>
                </anchor>
              </controlPr>
            </control>
          </mc:Choice>
        </mc:AlternateContent>
        <mc:AlternateContent xmlns:mc="http://schemas.openxmlformats.org/markup-compatibility/2006">
          <mc:Choice Requires="x14">
            <control shapeId="38936" r:id="rId27" name="Check Box 24">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38937" r:id="rId28" name="Check Box 25">
              <controlPr defaultSize="0" autoFill="0" autoLine="0" autoPict="0">
                <anchor moveWithCells="1">
                  <from>
                    <xdr:col>2</xdr:col>
                    <xdr:colOff>83820</xdr:colOff>
                    <xdr:row>34</xdr:row>
                    <xdr:rowOff>7620</xdr:rowOff>
                  </from>
                  <to>
                    <xdr:col>6</xdr:col>
                    <xdr:colOff>182880</xdr:colOff>
                    <xdr:row>35</xdr:row>
                    <xdr:rowOff>38100</xdr:rowOff>
                  </to>
                </anchor>
              </controlPr>
            </control>
          </mc:Choice>
        </mc:AlternateContent>
        <mc:AlternateContent xmlns:mc="http://schemas.openxmlformats.org/markup-compatibility/2006">
          <mc:Choice Requires="x14">
            <control shapeId="38938" r:id="rId29" name="Check Box 26">
              <controlPr defaultSize="0" autoFill="0" autoLine="0" autoPict="0">
                <anchor moveWithCells="1">
                  <from>
                    <xdr:col>2</xdr:col>
                    <xdr:colOff>99060</xdr:colOff>
                    <xdr:row>35</xdr:row>
                    <xdr:rowOff>0</xdr:rowOff>
                  </from>
                  <to>
                    <xdr:col>4</xdr:col>
                    <xdr:colOff>1059180</xdr:colOff>
                    <xdr:row>36</xdr:row>
                    <xdr:rowOff>7620</xdr:rowOff>
                  </to>
                </anchor>
              </controlPr>
            </control>
          </mc:Choice>
        </mc:AlternateContent>
        <mc:AlternateContent xmlns:mc="http://schemas.openxmlformats.org/markup-compatibility/2006">
          <mc:Choice Requires="x14">
            <control shapeId="38939" r:id="rId30" name="Check Box 27">
              <controlPr defaultSize="0" autoFill="0" autoLine="0" autoPict="0">
                <anchor moveWithCells="1">
                  <from>
                    <xdr:col>2</xdr:col>
                    <xdr:colOff>99060</xdr:colOff>
                    <xdr:row>37</xdr:row>
                    <xdr:rowOff>0</xdr:rowOff>
                  </from>
                  <to>
                    <xdr:col>5</xdr:col>
                    <xdr:colOff>807720</xdr:colOff>
                    <xdr:row>37</xdr:row>
                    <xdr:rowOff>160020</xdr:rowOff>
                  </to>
                </anchor>
              </controlPr>
            </control>
          </mc:Choice>
        </mc:AlternateContent>
        <mc:AlternateContent xmlns:mc="http://schemas.openxmlformats.org/markup-compatibility/2006">
          <mc:Choice Requires="x14">
            <control shapeId="38940" r:id="rId31" name="Check Box 28">
              <controlPr defaultSize="0" autoFill="0" autoLine="0" autoPict="0">
                <anchor moveWithCells="1">
                  <from>
                    <xdr:col>2</xdr:col>
                    <xdr:colOff>99060</xdr:colOff>
                    <xdr:row>35</xdr:row>
                    <xdr:rowOff>182880</xdr:rowOff>
                  </from>
                  <to>
                    <xdr:col>6</xdr:col>
                    <xdr:colOff>746760</xdr:colOff>
                    <xdr:row>37</xdr:row>
                    <xdr:rowOff>22860</xdr:rowOff>
                  </to>
                </anchor>
              </controlPr>
            </control>
          </mc:Choice>
        </mc:AlternateContent>
        <mc:AlternateContent xmlns:mc="http://schemas.openxmlformats.org/markup-compatibility/2006">
          <mc:Choice Requires="x14">
            <control shapeId="38941" r:id="rId32" name="Check Box 29">
              <controlPr defaultSize="0" autoFill="0" autoLine="0" autoPict="0">
                <anchor moveWithCells="1">
                  <from>
                    <xdr:col>2</xdr:col>
                    <xdr:colOff>38100</xdr:colOff>
                    <xdr:row>39</xdr:row>
                    <xdr:rowOff>30480</xdr:rowOff>
                  </from>
                  <to>
                    <xdr:col>19</xdr:col>
                    <xdr:colOff>99060</xdr:colOff>
                    <xdr:row>39</xdr:row>
                    <xdr:rowOff>160020</xdr:rowOff>
                  </to>
                </anchor>
              </controlPr>
            </control>
          </mc:Choice>
        </mc:AlternateContent>
        <mc:AlternateContent xmlns:mc="http://schemas.openxmlformats.org/markup-compatibility/2006">
          <mc:Choice Requires="x14">
            <control shapeId="38942" r:id="rId33" name="Check Box 30">
              <controlPr defaultSize="0" autoFill="0" autoLine="0" autoPict="0">
                <anchor moveWithCells="1">
                  <from>
                    <xdr:col>2</xdr:col>
                    <xdr:colOff>45720</xdr:colOff>
                    <xdr:row>40</xdr:row>
                    <xdr:rowOff>30480</xdr:rowOff>
                  </from>
                  <to>
                    <xdr:col>19</xdr:col>
                    <xdr:colOff>464820</xdr:colOff>
                    <xdr:row>41</xdr:row>
                    <xdr:rowOff>0</xdr:rowOff>
                  </to>
                </anchor>
              </controlPr>
            </control>
          </mc:Choice>
        </mc:AlternateContent>
        <mc:AlternateContent xmlns:mc="http://schemas.openxmlformats.org/markup-compatibility/2006">
          <mc:Choice Requires="x14">
            <control shapeId="38943" r:id="rId34" name="Check Box 31">
              <controlPr defaultSize="0" autoFill="0" autoLine="0" autoPict="0">
                <anchor moveWithCells="1">
                  <from>
                    <xdr:col>2</xdr:col>
                    <xdr:colOff>45720</xdr:colOff>
                    <xdr:row>41</xdr:row>
                    <xdr:rowOff>7620</xdr:rowOff>
                  </from>
                  <to>
                    <xdr:col>17</xdr:col>
                    <xdr:colOff>403860</xdr:colOff>
                    <xdr:row>42</xdr:row>
                    <xdr:rowOff>0</xdr:rowOff>
                  </to>
                </anchor>
              </controlPr>
            </control>
          </mc:Choice>
        </mc:AlternateContent>
        <mc:AlternateContent xmlns:mc="http://schemas.openxmlformats.org/markup-compatibility/2006">
          <mc:Choice Requires="x14">
            <control shapeId="38944" r:id="rId35" name="Check Box 32">
              <controlPr defaultSize="0" autoFill="0" autoLine="0" autoPict="0">
                <anchor moveWithCells="1">
                  <from>
                    <xdr:col>1</xdr:col>
                    <xdr:colOff>0</xdr:colOff>
                    <xdr:row>12</xdr:row>
                    <xdr:rowOff>0</xdr:rowOff>
                  </from>
                  <to>
                    <xdr:col>1</xdr:col>
                    <xdr:colOff>2933700</xdr:colOff>
                    <xdr:row>13</xdr:row>
                    <xdr:rowOff>7620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20"/>
  <sheetViews>
    <sheetView workbookViewId="0">
      <selection activeCell="C9" sqref="C9"/>
    </sheetView>
  </sheetViews>
  <sheetFormatPr defaultColWidth="9.109375" defaultRowHeight="15"/>
  <cols>
    <col min="1" max="1" width="6" style="595" customWidth="1"/>
    <col min="2" max="2" width="51.5546875" style="580" customWidth="1"/>
    <col min="3" max="3" width="12.88671875" style="595" customWidth="1"/>
    <col min="4" max="4" width="16.44140625" style="605" customWidth="1"/>
    <col min="5" max="5" width="10" style="580" customWidth="1"/>
    <col min="6" max="6" width="14.88671875" style="605" customWidth="1"/>
    <col min="7" max="7" width="10.88671875" style="580" customWidth="1"/>
    <col min="8" max="8" width="13.109375" style="605" customWidth="1"/>
    <col min="9" max="9" width="10.88671875" style="580" customWidth="1"/>
    <col min="10" max="10" width="13.33203125" style="605" customWidth="1"/>
    <col min="11" max="11" width="9.5546875" style="580" customWidth="1"/>
    <col min="12" max="12" width="15" style="605" customWidth="1"/>
    <col min="13" max="13" width="46.109375" style="580" customWidth="1"/>
    <col min="14" max="16384" width="9.109375" style="580"/>
  </cols>
  <sheetData>
    <row r="1" spans="1:13" ht="18">
      <c r="A1" s="860" t="s">
        <v>870</v>
      </c>
      <c r="B1" s="860"/>
      <c r="C1" s="860"/>
      <c r="D1" s="860"/>
      <c r="E1" s="860"/>
      <c r="F1" s="860"/>
      <c r="G1" s="860"/>
      <c r="H1" s="860"/>
      <c r="I1" s="860"/>
      <c r="J1" s="860"/>
      <c r="K1" s="860"/>
      <c r="L1" s="860"/>
      <c r="M1" s="860"/>
    </row>
    <row r="2" spans="1:13" s="581" customFormat="1" ht="15.6">
      <c r="A2" s="861" t="s">
        <v>871</v>
      </c>
      <c r="B2" s="861"/>
      <c r="C2" s="861"/>
      <c r="D2" s="861"/>
      <c r="E2" s="861"/>
      <c r="F2" s="861"/>
      <c r="G2" s="861"/>
      <c r="H2" s="861"/>
      <c r="I2" s="861"/>
      <c r="J2" s="861"/>
      <c r="K2" s="861"/>
      <c r="L2" s="861"/>
      <c r="M2" s="861"/>
    </row>
    <row r="3" spans="1:13">
      <c r="A3" s="582"/>
      <c r="B3" s="583"/>
      <c r="C3" s="582"/>
      <c r="D3" s="584"/>
      <c r="E3" s="862" t="s">
        <v>872</v>
      </c>
      <c r="F3" s="862"/>
      <c r="G3" s="862"/>
      <c r="H3" s="862"/>
      <c r="I3" s="862"/>
      <c r="J3" s="862"/>
      <c r="K3" s="862"/>
      <c r="L3" s="862"/>
      <c r="M3" s="583"/>
    </row>
    <row r="4" spans="1:13">
      <c r="A4" s="585"/>
      <c r="B4" s="586"/>
      <c r="C4" s="585"/>
      <c r="D4" s="587"/>
      <c r="E4" s="855" t="s">
        <v>873</v>
      </c>
      <c r="F4" s="856"/>
      <c r="G4" s="855" t="s">
        <v>874</v>
      </c>
      <c r="H4" s="856"/>
      <c r="I4" s="855" t="s">
        <v>800</v>
      </c>
      <c r="J4" s="856"/>
      <c r="K4" s="855" t="s">
        <v>875</v>
      </c>
      <c r="L4" s="856"/>
      <c r="M4" s="586"/>
    </row>
    <row r="5" spans="1:13" ht="60">
      <c r="A5" s="588" t="s">
        <v>876</v>
      </c>
      <c r="B5" s="589" t="s">
        <v>877</v>
      </c>
      <c r="C5" s="588" t="s">
        <v>143</v>
      </c>
      <c r="D5" s="590" t="s">
        <v>878</v>
      </c>
      <c r="E5" s="588" t="s">
        <v>879</v>
      </c>
      <c r="F5" s="590" t="s">
        <v>880</v>
      </c>
      <c r="G5" s="588" t="s">
        <v>879</v>
      </c>
      <c r="H5" s="590" t="s">
        <v>880</v>
      </c>
      <c r="I5" s="588" t="s">
        <v>879</v>
      </c>
      <c r="J5" s="590" t="s">
        <v>880</v>
      </c>
      <c r="K5" s="588" t="s">
        <v>879</v>
      </c>
      <c r="L5" s="590" t="s">
        <v>880</v>
      </c>
      <c r="M5" s="588" t="s">
        <v>881</v>
      </c>
    </row>
    <row r="6" spans="1:13" ht="28.8">
      <c r="A6" s="582">
        <v>1</v>
      </c>
      <c r="B6" s="591" t="s">
        <v>841</v>
      </c>
      <c r="C6" s="582" t="s">
        <v>882</v>
      </c>
      <c r="D6" s="592">
        <v>200</v>
      </c>
      <c r="E6" s="593">
        <v>10</v>
      </c>
      <c r="F6" s="592">
        <f>E6*D6</f>
        <v>2000</v>
      </c>
      <c r="G6" s="593">
        <v>10</v>
      </c>
      <c r="H6" s="592">
        <f>G6*D6</f>
        <v>2000</v>
      </c>
      <c r="I6" s="593">
        <v>5</v>
      </c>
      <c r="J6" s="592">
        <f>I6*D6</f>
        <v>1000</v>
      </c>
      <c r="K6" s="593">
        <f>E6+G6+I6</f>
        <v>25</v>
      </c>
      <c r="L6" s="592">
        <f>F6+H6+J6</f>
        <v>5000</v>
      </c>
      <c r="M6" s="594" t="s">
        <v>883</v>
      </c>
    </row>
    <row r="7" spans="1:13" ht="28.8">
      <c r="A7" s="582">
        <v>2</v>
      </c>
      <c r="B7" s="591" t="s">
        <v>842</v>
      </c>
      <c r="C7" s="595" t="s">
        <v>772</v>
      </c>
      <c r="D7" s="592">
        <v>20</v>
      </c>
      <c r="E7" s="593">
        <v>10</v>
      </c>
      <c r="F7" s="592">
        <f>E7*D7</f>
        <v>200</v>
      </c>
      <c r="G7" s="593"/>
      <c r="H7" s="592"/>
      <c r="I7" s="593"/>
      <c r="J7" s="592"/>
      <c r="K7" s="593">
        <f t="shared" ref="K7:L22" si="0">E7+G7+I7</f>
        <v>10</v>
      </c>
      <c r="L7" s="592">
        <f t="shared" si="0"/>
        <v>200</v>
      </c>
      <c r="M7" s="594" t="s">
        <v>884</v>
      </c>
    </row>
    <row r="8" spans="1:13">
      <c r="A8" s="582">
        <v>3</v>
      </c>
      <c r="B8" s="596" t="s">
        <v>843</v>
      </c>
      <c r="C8" s="582" t="s">
        <v>772</v>
      </c>
      <c r="D8" s="592">
        <v>7000</v>
      </c>
      <c r="E8" s="593">
        <v>1</v>
      </c>
      <c r="F8" s="592">
        <f t="shared" ref="F8:F10" si="1">E8*D8</f>
        <v>7000</v>
      </c>
      <c r="G8" s="593"/>
      <c r="H8" s="592"/>
      <c r="I8" s="593"/>
      <c r="J8" s="592"/>
      <c r="K8" s="593">
        <f t="shared" si="0"/>
        <v>1</v>
      </c>
      <c r="L8" s="592">
        <f t="shared" si="0"/>
        <v>7000</v>
      </c>
      <c r="M8" s="594" t="s">
        <v>885</v>
      </c>
    </row>
    <row r="9" spans="1:13">
      <c r="A9" s="582">
        <v>4</v>
      </c>
      <c r="B9" s="596" t="s">
        <v>844</v>
      </c>
      <c r="C9" s="595" t="s">
        <v>772</v>
      </c>
      <c r="D9" s="592">
        <v>1000</v>
      </c>
      <c r="E9" s="593">
        <v>1</v>
      </c>
      <c r="F9" s="592">
        <f t="shared" si="1"/>
        <v>1000</v>
      </c>
      <c r="G9" s="593"/>
      <c r="H9" s="592"/>
      <c r="I9" s="593"/>
      <c r="J9" s="592"/>
      <c r="K9" s="593">
        <f t="shared" si="0"/>
        <v>1</v>
      </c>
      <c r="L9" s="592">
        <f t="shared" si="0"/>
        <v>1000</v>
      </c>
      <c r="M9" s="594" t="s">
        <v>885</v>
      </c>
    </row>
    <row r="10" spans="1:13">
      <c r="A10" s="582">
        <v>5</v>
      </c>
      <c r="B10" s="597" t="s">
        <v>845</v>
      </c>
      <c r="C10" s="582" t="s">
        <v>772</v>
      </c>
      <c r="D10" s="592">
        <v>15000</v>
      </c>
      <c r="E10" s="593">
        <v>1</v>
      </c>
      <c r="F10" s="592">
        <f t="shared" si="1"/>
        <v>15000</v>
      </c>
      <c r="G10" s="593"/>
      <c r="H10" s="592"/>
      <c r="I10" s="593"/>
      <c r="J10" s="592"/>
      <c r="K10" s="593">
        <f t="shared" si="0"/>
        <v>1</v>
      </c>
      <c r="L10" s="592">
        <f t="shared" si="0"/>
        <v>15000</v>
      </c>
      <c r="M10" s="594"/>
    </row>
    <row r="11" spans="1:13">
      <c r="A11" s="582">
        <v>6</v>
      </c>
      <c r="B11" s="596" t="s">
        <v>846</v>
      </c>
      <c r="C11" s="582" t="s">
        <v>772</v>
      </c>
      <c r="D11" s="592">
        <v>3500</v>
      </c>
      <c r="E11" s="593"/>
      <c r="F11" s="592"/>
      <c r="G11" s="593">
        <v>1</v>
      </c>
      <c r="H11" s="592">
        <f>G11*D11</f>
        <v>3500</v>
      </c>
      <c r="I11" s="593"/>
      <c r="J11" s="592"/>
      <c r="K11" s="593">
        <f>E11+G11+I11</f>
        <v>1</v>
      </c>
      <c r="L11" s="592">
        <f t="shared" si="0"/>
        <v>3500</v>
      </c>
      <c r="M11" s="594"/>
    </row>
    <row r="12" spans="1:13">
      <c r="A12" s="582">
        <v>7</v>
      </c>
      <c r="B12" s="596" t="s">
        <v>847</v>
      </c>
      <c r="C12" s="582" t="s">
        <v>772</v>
      </c>
      <c r="D12" s="592">
        <v>40</v>
      </c>
      <c r="E12" s="593">
        <v>4</v>
      </c>
      <c r="F12" s="592">
        <f>E12*D12</f>
        <v>160</v>
      </c>
      <c r="G12" s="593">
        <v>4</v>
      </c>
      <c r="H12" s="592">
        <f t="shared" ref="H12:H17" si="2">G12*D12</f>
        <v>160</v>
      </c>
      <c r="I12" s="593"/>
      <c r="J12" s="592"/>
      <c r="K12" s="593">
        <f t="shared" ref="K12:L23" si="3">E12+G12+I12</f>
        <v>8</v>
      </c>
      <c r="L12" s="592">
        <f t="shared" si="0"/>
        <v>320</v>
      </c>
      <c r="M12" s="594"/>
    </row>
    <row r="13" spans="1:13">
      <c r="A13" s="582">
        <v>8</v>
      </c>
      <c r="B13" s="597" t="s">
        <v>848</v>
      </c>
      <c r="C13" s="582" t="s">
        <v>772</v>
      </c>
      <c r="D13" s="592">
        <v>400</v>
      </c>
      <c r="E13" s="593"/>
      <c r="F13" s="592">
        <f t="shared" ref="F13:F23" si="4">E13*D13</f>
        <v>0</v>
      </c>
      <c r="G13" s="593">
        <v>1</v>
      </c>
      <c r="H13" s="592">
        <f t="shared" si="2"/>
        <v>400</v>
      </c>
      <c r="I13" s="593"/>
      <c r="J13" s="592"/>
      <c r="K13" s="593">
        <f t="shared" si="3"/>
        <v>1</v>
      </c>
      <c r="L13" s="592">
        <f t="shared" si="0"/>
        <v>400</v>
      </c>
      <c r="M13" s="594" t="s">
        <v>886</v>
      </c>
    </row>
    <row r="14" spans="1:13">
      <c r="A14" s="582">
        <v>9</v>
      </c>
      <c r="B14" s="597" t="s">
        <v>849</v>
      </c>
      <c r="C14" s="582" t="s">
        <v>772</v>
      </c>
      <c r="D14" s="592">
        <v>20000</v>
      </c>
      <c r="E14" s="593">
        <v>4</v>
      </c>
      <c r="F14" s="592">
        <f>E14*D14</f>
        <v>80000</v>
      </c>
      <c r="G14" s="593">
        <v>5</v>
      </c>
      <c r="H14" s="592">
        <f>G14*D14</f>
        <v>100000</v>
      </c>
      <c r="I14" s="593">
        <v>5</v>
      </c>
      <c r="J14" s="592">
        <f t="shared" ref="J14:J16" si="5">I14*D14</f>
        <v>100000</v>
      </c>
      <c r="K14" s="593">
        <f t="shared" si="3"/>
        <v>14</v>
      </c>
      <c r="L14" s="592">
        <f t="shared" si="0"/>
        <v>280000</v>
      </c>
      <c r="M14" s="594" t="s">
        <v>887</v>
      </c>
    </row>
    <row r="15" spans="1:13">
      <c r="A15" s="582">
        <v>13</v>
      </c>
      <c r="B15" s="583" t="s">
        <v>850</v>
      </c>
      <c r="C15" s="582" t="s">
        <v>772</v>
      </c>
      <c r="D15" s="592">
        <v>100</v>
      </c>
      <c r="E15" s="582">
        <v>5</v>
      </c>
      <c r="F15" s="592">
        <f t="shared" si="4"/>
        <v>500</v>
      </c>
      <c r="G15" s="582">
        <v>5</v>
      </c>
      <c r="H15" s="592">
        <f t="shared" si="2"/>
        <v>500</v>
      </c>
      <c r="I15" s="582">
        <v>5</v>
      </c>
      <c r="J15" s="592"/>
      <c r="K15" s="593">
        <f t="shared" si="3"/>
        <v>15</v>
      </c>
      <c r="L15" s="592">
        <f t="shared" si="0"/>
        <v>1000</v>
      </c>
      <c r="M15" s="594" t="s">
        <v>888</v>
      </c>
    </row>
    <row r="16" spans="1:13">
      <c r="A16" s="582">
        <v>14</v>
      </c>
      <c r="B16" s="583" t="s">
        <v>889</v>
      </c>
      <c r="C16" s="582" t="s">
        <v>772</v>
      </c>
      <c r="D16" s="592">
        <v>2000</v>
      </c>
      <c r="E16" s="582">
        <v>1</v>
      </c>
      <c r="F16" s="592">
        <f t="shared" si="4"/>
        <v>2000</v>
      </c>
      <c r="G16" s="582">
        <v>1</v>
      </c>
      <c r="H16" s="592">
        <f>G16*D16</f>
        <v>2000</v>
      </c>
      <c r="I16" s="582">
        <v>1</v>
      </c>
      <c r="J16" s="592">
        <f t="shared" si="5"/>
        <v>2000</v>
      </c>
      <c r="K16" s="593">
        <f t="shared" si="3"/>
        <v>3</v>
      </c>
      <c r="L16" s="592">
        <f t="shared" si="0"/>
        <v>6000</v>
      </c>
      <c r="M16" s="594"/>
    </row>
    <row r="17" spans="1:13">
      <c r="A17" s="582">
        <v>15</v>
      </c>
      <c r="B17" s="598" t="s">
        <v>857</v>
      </c>
      <c r="C17" s="582" t="s">
        <v>890</v>
      </c>
      <c r="D17" s="599">
        <v>3000</v>
      </c>
      <c r="E17" s="600">
        <v>1</v>
      </c>
      <c r="F17" s="592">
        <f t="shared" si="4"/>
        <v>3000</v>
      </c>
      <c r="G17" s="600">
        <v>1</v>
      </c>
      <c r="H17" s="592">
        <f t="shared" si="2"/>
        <v>3000</v>
      </c>
      <c r="I17" s="600"/>
      <c r="J17" s="592"/>
      <c r="K17" s="593">
        <f t="shared" si="3"/>
        <v>2</v>
      </c>
      <c r="L17" s="592">
        <f>F17+H17+J17</f>
        <v>6000</v>
      </c>
      <c r="M17" s="594"/>
    </row>
    <row r="18" spans="1:13" ht="30">
      <c r="A18" s="582">
        <v>16</v>
      </c>
      <c r="B18" s="598" t="s">
        <v>858</v>
      </c>
      <c r="C18" s="582" t="s">
        <v>772</v>
      </c>
      <c r="D18" s="599">
        <v>3500</v>
      </c>
      <c r="E18" s="600">
        <v>1</v>
      </c>
      <c r="F18" s="592">
        <f t="shared" si="4"/>
        <v>3500</v>
      </c>
      <c r="G18" s="600"/>
      <c r="H18" s="592"/>
      <c r="I18" s="600"/>
      <c r="J18" s="592"/>
      <c r="K18" s="593">
        <f t="shared" si="3"/>
        <v>1</v>
      </c>
      <c r="L18" s="592">
        <f>F18+H18+J18</f>
        <v>3500</v>
      </c>
      <c r="M18" s="594"/>
    </row>
    <row r="19" spans="1:13" ht="30">
      <c r="A19" s="582">
        <v>17</v>
      </c>
      <c r="B19" s="598" t="s">
        <v>859</v>
      </c>
      <c r="C19" s="582" t="s">
        <v>772</v>
      </c>
      <c r="D19" s="599">
        <v>3000</v>
      </c>
      <c r="E19" s="600">
        <v>1</v>
      </c>
      <c r="F19" s="592">
        <f t="shared" si="4"/>
        <v>3000</v>
      </c>
      <c r="G19" s="600"/>
      <c r="H19" s="592"/>
      <c r="I19" s="600"/>
      <c r="J19" s="592"/>
      <c r="K19" s="593">
        <f t="shared" si="3"/>
        <v>1</v>
      </c>
      <c r="L19" s="592">
        <f t="shared" si="0"/>
        <v>3000</v>
      </c>
      <c r="M19" s="594"/>
    </row>
    <row r="20" spans="1:13" ht="30">
      <c r="A20" s="582">
        <v>18</v>
      </c>
      <c r="B20" s="598" t="s">
        <v>851</v>
      </c>
      <c r="C20" s="582" t="s">
        <v>772</v>
      </c>
      <c r="D20" s="599">
        <v>15000</v>
      </c>
      <c r="E20" s="600">
        <v>1</v>
      </c>
      <c r="F20" s="592">
        <f t="shared" si="4"/>
        <v>15000</v>
      </c>
      <c r="G20" s="600"/>
      <c r="H20" s="592"/>
      <c r="I20" s="600"/>
      <c r="J20" s="592"/>
      <c r="K20" s="593">
        <f t="shared" si="3"/>
        <v>1</v>
      </c>
      <c r="L20" s="592">
        <f t="shared" si="0"/>
        <v>15000</v>
      </c>
      <c r="M20" s="594"/>
    </row>
    <row r="21" spans="1:13">
      <c r="A21" s="582">
        <v>19</v>
      </c>
      <c r="B21" s="598" t="s">
        <v>860</v>
      </c>
      <c r="C21" s="582" t="s">
        <v>772</v>
      </c>
      <c r="D21" s="599">
        <v>50</v>
      </c>
      <c r="E21" s="600">
        <v>10</v>
      </c>
      <c r="F21" s="592">
        <f t="shared" si="4"/>
        <v>500</v>
      </c>
      <c r="G21" s="600"/>
      <c r="H21" s="592"/>
      <c r="I21" s="600"/>
      <c r="J21" s="592"/>
      <c r="K21" s="593">
        <f t="shared" si="3"/>
        <v>10</v>
      </c>
      <c r="L21" s="592">
        <f t="shared" si="0"/>
        <v>500</v>
      </c>
      <c r="M21" s="594"/>
    </row>
    <row r="22" spans="1:13" ht="45">
      <c r="A22" s="582">
        <v>20</v>
      </c>
      <c r="B22" s="598" t="s">
        <v>861</v>
      </c>
      <c r="C22" s="582" t="s">
        <v>772</v>
      </c>
      <c r="D22" s="599">
        <v>1000</v>
      </c>
      <c r="E22" s="600">
        <v>1</v>
      </c>
      <c r="F22" s="592">
        <f t="shared" si="4"/>
        <v>1000</v>
      </c>
      <c r="G22" s="600"/>
      <c r="H22" s="592"/>
      <c r="I22" s="600"/>
      <c r="J22" s="592"/>
      <c r="K22" s="593">
        <f t="shared" si="3"/>
        <v>1</v>
      </c>
      <c r="L22" s="592">
        <f t="shared" si="0"/>
        <v>1000</v>
      </c>
      <c r="M22" s="594"/>
    </row>
    <row r="23" spans="1:13" ht="45">
      <c r="A23" s="582">
        <v>21</v>
      </c>
      <c r="B23" s="598" t="s">
        <v>852</v>
      </c>
      <c r="C23" s="582" t="s">
        <v>772</v>
      </c>
      <c r="D23" s="599">
        <v>270000</v>
      </c>
      <c r="E23" s="600">
        <v>1</v>
      </c>
      <c r="F23" s="592">
        <f t="shared" si="4"/>
        <v>270000</v>
      </c>
      <c r="G23" s="600"/>
      <c r="H23" s="592"/>
      <c r="I23" s="600"/>
      <c r="J23" s="592"/>
      <c r="K23" s="593">
        <f t="shared" si="3"/>
        <v>1</v>
      </c>
      <c r="L23" s="592">
        <f t="shared" si="3"/>
        <v>270000</v>
      </c>
      <c r="M23" s="594"/>
    </row>
    <row r="24" spans="1:13" ht="60">
      <c r="A24" s="582">
        <v>23</v>
      </c>
      <c r="B24" s="598" t="s">
        <v>853</v>
      </c>
      <c r="C24" s="582" t="s">
        <v>772</v>
      </c>
      <c r="D24" s="599">
        <v>25000</v>
      </c>
      <c r="E24" s="600">
        <v>1</v>
      </c>
      <c r="F24" s="599">
        <f>E24*D24</f>
        <v>25000</v>
      </c>
      <c r="G24" s="600"/>
      <c r="H24" s="599"/>
      <c r="I24" s="600"/>
      <c r="J24" s="592"/>
      <c r="K24" s="601">
        <f>E24+G24+I24</f>
        <v>1</v>
      </c>
      <c r="L24" s="599">
        <f>F24+H24+J24</f>
        <v>25000</v>
      </c>
      <c r="M24" s="594"/>
    </row>
    <row r="25" spans="1:13">
      <c r="A25" s="582">
        <v>25</v>
      </c>
      <c r="B25" s="598" t="s">
        <v>862</v>
      </c>
      <c r="C25" s="582" t="s">
        <v>772</v>
      </c>
      <c r="D25" s="599">
        <v>2000</v>
      </c>
      <c r="E25" s="600">
        <v>2</v>
      </c>
      <c r="F25" s="599">
        <f>E25*D25</f>
        <v>4000</v>
      </c>
      <c r="G25" s="600">
        <v>2</v>
      </c>
      <c r="H25" s="599">
        <f t="shared" ref="H25" si="6">G25*D25</f>
        <v>4000</v>
      </c>
      <c r="I25" s="600">
        <v>2</v>
      </c>
      <c r="J25" s="592">
        <f t="shared" ref="J25:J26" si="7">I25*D25</f>
        <v>4000</v>
      </c>
      <c r="K25" s="601">
        <f>E25+G25+I25</f>
        <v>6</v>
      </c>
      <c r="L25" s="599">
        <f t="shared" ref="L25:L26" si="8">F25+H25+J25</f>
        <v>12000</v>
      </c>
      <c r="M25" s="594"/>
    </row>
    <row r="26" spans="1:13" ht="30">
      <c r="A26" s="582">
        <v>27</v>
      </c>
      <c r="B26" s="598" t="s">
        <v>863</v>
      </c>
      <c r="C26" s="582" t="s">
        <v>882</v>
      </c>
      <c r="D26" s="599">
        <v>15000</v>
      </c>
      <c r="E26" s="600">
        <v>1</v>
      </c>
      <c r="F26" s="599">
        <f t="shared" ref="F26:F27" si="9">E26*D26</f>
        <v>15000</v>
      </c>
      <c r="G26" s="600"/>
      <c r="H26" s="599"/>
      <c r="I26" s="600">
        <v>1</v>
      </c>
      <c r="J26" s="592">
        <f t="shared" si="7"/>
        <v>15000</v>
      </c>
      <c r="K26" s="601">
        <f t="shared" ref="K26:K27" si="10">E26+G26+I26</f>
        <v>2</v>
      </c>
      <c r="L26" s="599">
        <f t="shared" si="8"/>
        <v>30000</v>
      </c>
      <c r="M26" s="594" t="s">
        <v>887</v>
      </c>
    </row>
    <row r="27" spans="1:13" ht="30">
      <c r="A27" s="582">
        <v>29</v>
      </c>
      <c r="B27" s="583" t="s">
        <v>854</v>
      </c>
      <c r="C27" s="582" t="s">
        <v>882</v>
      </c>
      <c r="D27" s="599">
        <v>400</v>
      </c>
      <c r="E27" s="600">
        <v>4</v>
      </c>
      <c r="F27" s="599">
        <f t="shared" si="9"/>
        <v>1600</v>
      </c>
      <c r="G27" s="600">
        <v>5</v>
      </c>
      <c r="H27" s="599">
        <f>G27*D27</f>
        <v>2000</v>
      </c>
      <c r="I27" s="600">
        <v>5</v>
      </c>
      <c r="J27" s="592">
        <f>I27*D27</f>
        <v>2000</v>
      </c>
      <c r="K27" s="601">
        <f t="shared" si="10"/>
        <v>14</v>
      </c>
      <c r="L27" s="599">
        <f>F27+H27+J27</f>
        <v>5600</v>
      </c>
      <c r="M27" s="594"/>
    </row>
    <row r="28" spans="1:13" ht="15.6">
      <c r="A28" s="857" t="s">
        <v>891</v>
      </c>
      <c r="B28" s="858"/>
      <c r="C28" s="858"/>
      <c r="D28" s="859"/>
      <c r="E28" s="602"/>
      <c r="F28" s="603">
        <f>SUM(F6:F27)</f>
        <v>449460</v>
      </c>
      <c r="G28" s="604"/>
      <c r="H28" s="603">
        <f>SUM(H6:H27)</f>
        <v>117560</v>
      </c>
      <c r="I28" s="604"/>
      <c r="J28" s="603">
        <f>SUM(J6:J27)</f>
        <v>124000</v>
      </c>
      <c r="K28" s="604"/>
      <c r="L28" s="603">
        <f>SUM(L6:L27)</f>
        <v>691020</v>
      </c>
      <c r="M28" s="594"/>
    </row>
    <row r="30" spans="1:13">
      <c r="B30" s="606"/>
      <c r="C30" s="607"/>
      <c r="D30" s="608"/>
      <c r="E30" s="609"/>
      <c r="F30" s="608"/>
    </row>
    <row r="110" ht="19.5" customHeight="1"/>
    <row r="111" ht="21" customHeight="1"/>
    <row r="118" ht="24.75" customHeight="1"/>
    <row r="120" ht="169.5" customHeight="1"/>
  </sheetData>
  <mergeCells count="8">
    <mergeCell ref="K4:L4"/>
    <mergeCell ref="A28:D28"/>
    <mergeCell ref="A1:M1"/>
    <mergeCell ref="A2:M2"/>
    <mergeCell ref="E3:L3"/>
    <mergeCell ref="E4:F4"/>
    <mergeCell ref="G4:H4"/>
    <mergeCell ref="I4:J4"/>
  </mergeCells>
  <dataValidations count="3">
    <dataValidation type="list" allowBlank="1" showInputMessage="1" showErrorMessage="1" sqref="B30">
      <formula1>$J$3:$J$5</formula1>
    </dataValidation>
    <dataValidation type="list" allowBlank="1" showInputMessage="1" showErrorMessage="1" sqref="C24">
      <formula1>$I$3:$I$4</formula1>
    </dataValidation>
    <dataValidation type="list" allowBlank="1" showInputMessage="1" showErrorMessage="1" sqref="C21:C22 C25">
      <formula1>$H$3:$H$5</formula1>
    </dataValidation>
  </dataValidations>
  <hyperlinks>
    <hyperlink ref="M6" r:id="rId1"/>
  </hyperlinks>
  <pageMargins left="0.7" right="0.7" top="0.75" bottom="0.75" header="0.3" footer="0.3"/>
  <pageSetup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56673" r:id="rId5" name="Check Box 1">
              <controlPr defaultSize="0" autoFill="0" autoLine="0" autoPict="0">
                <anchor moveWithCells="1">
                  <from>
                    <xdr:col>2</xdr:col>
                    <xdr:colOff>99060</xdr:colOff>
                    <xdr:row>32</xdr:row>
                    <xdr:rowOff>0</xdr:rowOff>
                  </from>
                  <to>
                    <xdr:col>5</xdr:col>
                    <xdr:colOff>411480</xdr:colOff>
                    <xdr:row>33</xdr:row>
                    <xdr:rowOff>0</xdr:rowOff>
                  </to>
                </anchor>
              </controlPr>
            </control>
          </mc:Choice>
        </mc:AlternateContent>
        <mc:AlternateContent xmlns:mc="http://schemas.openxmlformats.org/markup-compatibility/2006">
          <mc:Choice Requires="x14">
            <control shapeId="156674" r:id="rId6" name="Check Box 2">
              <controlPr defaultSize="0" autoFill="0" autoLine="0" autoPict="0">
                <anchor moveWithCells="1">
                  <from>
                    <xdr:col>2</xdr:col>
                    <xdr:colOff>99060</xdr:colOff>
                    <xdr:row>34</xdr:row>
                    <xdr:rowOff>0</xdr:rowOff>
                  </from>
                  <to>
                    <xdr:col>7</xdr:col>
                    <xdr:colOff>7620</xdr:colOff>
                    <xdr:row>34</xdr:row>
                    <xdr:rowOff>160020</xdr:rowOff>
                  </to>
                </anchor>
              </controlPr>
            </control>
          </mc:Choice>
        </mc:AlternateContent>
        <mc:AlternateContent xmlns:mc="http://schemas.openxmlformats.org/markup-compatibility/2006">
          <mc:Choice Requires="x14">
            <control shapeId="156675" r:id="rId7" name="Check Box 3">
              <controlPr defaultSize="0" autoFill="0" autoLine="0" autoPict="0">
                <anchor moveWithCells="1">
                  <from>
                    <xdr:col>2</xdr:col>
                    <xdr:colOff>99060</xdr:colOff>
                    <xdr:row>32</xdr:row>
                    <xdr:rowOff>182880</xdr:rowOff>
                  </from>
                  <to>
                    <xdr:col>8</xdr:col>
                    <xdr:colOff>68580</xdr:colOff>
                    <xdr:row>33</xdr:row>
                    <xdr:rowOff>0</xdr:rowOff>
                  </to>
                </anchor>
              </controlPr>
            </control>
          </mc:Choice>
        </mc:AlternateContent>
        <mc:AlternateContent xmlns:mc="http://schemas.openxmlformats.org/markup-compatibility/2006">
          <mc:Choice Requires="x14">
            <control shapeId="156676" r:id="rId8" name="Check Box 4">
              <controlPr defaultSize="0" autoFill="0" autoLine="0" autoPict="0">
                <anchor moveWithCells="1">
                  <from>
                    <xdr:col>2</xdr:col>
                    <xdr:colOff>38100</xdr:colOff>
                    <xdr:row>36</xdr:row>
                    <xdr:rowOff>30480</xdr:rowOff>
                  </from>
                  <to>
                    <xdr:col>13</xdr:col>
                    <xdr:colOff>480060</xdr:colOff>
                    <xdr:row>36</xdr:row>
                    <xdr:rowOff>160020</xdr:rowOff>
                  </to>
                </anchor>
              </controlPr>
            </control>
          </mc:Choice>
        </mc:AlternateContent>
        <mc:AlternateContent xmlns:mc="http://schemas.openxmlformats.org/markup-compatibility/2006">
          <mc:Choice Requires="x14">
            <control shapeId="156677" r:id="rId9" name="Check Box 5">
              <controlPr defaultSize="0" autoFill="0" autoLine="0" autoPict="0">
                <anchor moveWithCells="1">
                  <from>
                    <xdr:col>2</xdr:col>
                    <xdr:colOff>45720</xdr:colOff>
                    <xdr:row>37</xdr:row>
                    <xdr:rowOff>30480</xdr:rowOff>
                  </from>
                  <to>
                    <xdr:col>14</xdr:col>
                    <xdr:colOff>236220</xdr:colOff>
                    <xdr:row>38</xdr:row>
                    <xdr:rowOff>0</xdr:rowOff>
                  </to>
                </anchor>
              </controlPr>
            </control>
          </mc:Choice>
        </mc:AlternateContent>
        <mc:AlternateContent xmlns:mc="http://schemas.openxmlformats.org/markup-compatibility/2006">
          <mc:Choice Requires="x14">
            <control shapeId="156678" r:id="rId10" name="Check Box 6">
              <controlPr defaultSize="0" autoFill="0" autoLine="0" autoPict="0">
                <anchor moveWithCells="1">
                  <from>
                    <xdr:col>2</xdr:col>
                    <xdr:colOff>45720</xdr:colOff>
                    <xdr:row>38</xdr:row>
                    <xdr:rowOff>7620</xdr:rowOff>
                  </from>
                  <to>
                    <xdr:col>12</xdr:col>
                    <xdr:colOff>2689860</xdr:colOff>
                    <xdr:row>39</xdr:row>
                    <xdr:rowOff>0</xdr:rowOff>
                  </to>
                </anchor>
              </controlPr>
            </control>
          </mc:Choice>
        </mc:AlternateContent>
        <mc:AlternateContent xmlns:mc="http://schemas.openxmlformats.org/markup-compatibility/2006">
          <mc:Choice Requires="x14">
            <control shapeId="156679" r:id="rId11" name="Check Box 7">
              <controlPr defaultSize="0" autoFill="0" autoLine="0" autoPict="0">
                <anchor moveWithCells="1">
                  <from>
                    <xdr:col>1</xdr:col>
                    <xdr:colOff>0</xdr:colOff>
                    <xdr:row>11</xdr:row>
                    <xdr:rowOff>0</xdr:rowOff>
                  </from>
                  <to>
                    <xdr:col>1</xdr:col>
                    <xdr:colOff>2933700</xdr:colOff>
                    <xdr:row>12</xdr:row>
                    <xdr:rowOff>83820</xdr:rowOff>
                  </to>
                </anchor>
              </controlPr>
            </control>
          </mc:Choice>
        </mc:AlternateContent>
        <mc:AlternateContent xmlns:mc="http://schemas.openxmlformats.org/markup-compatibility/2006">
          <mc:Choice Requires="x14">
            <control shapeId="156680" r:id="rId12" name="Check Box 8">
              <controlPr defaultSize="0" autoFill="0" autoLine="0" autoPict="0">
                <anchor moveWithCells="1">
                  <from>
                    <xdr:col>2</xdr:col>
                    <xdr:colOff>99060</xdr:colOff>
                    <xdr:row>32</xdr:row>
                    <xdr:rowOff>0</xdr:rowOff>
                  </from>
                  <to>
                    <xdr:col>5</xdr:col>
                    <xdr:colOff>411480</xdr:colOff>
                    <xdr:row>33</xdr:row>
                    <xdr:rowOff>0</xdr:rowOff>
                  </to>
                </anchor>
              </controlPr>
            </control>
          </mc:Choice>
        </mc:AlternateContent>
        <mc:AlternateContent xmlns:mc="http://schemas.openxmlformats.org/markup-compatibility/2006">
          <mc:Choice Requires="x14">
            <control shapeId="156681" r:id="rId13" name="Check Box 9">
              <controlPr defaultSize="0" autoFill="0" autoLine="0" autoPict="0">
                <anchor moveWithCells="1">
                  <from>
                    <xdr:col>2</xdr:col>
                    <xdr:colOff>99060</xdr:colOff>
                    <xdr:row>34</xdr:row>
                    <xdr:rowOff>0</xdr:rowOff>
                  </from>
                  <to>
                    <xdr:col>7</xdr:col>
                    <xdr:colOff>7620</xdr:colOff>
                    <xdr:row>34</xdr:row>
                    <xdr:rowOff>160020</xdr:rowOff>
                  </to>
                </anchor>
              </controlPr>
            </control>
          </mc:Choice>
        </mc:AlternateContent>
        <mc:AlternateContent xmlns:mc="http://schemas.openxmlformats.org/markup-compatibility/2006">
          <mc:Choice Requires="x14">
            <control shapeId="156682" r:id="rId14" name="Check Box 10">
              <controlPr defaultSize="0" autoFill="0" autoLine="0" autoPict="0">
                <anchor moveWithCells="1">
                  <from>
                    <xdr:col>2</xdr:col>
                    <xdr:colOff>99060</xdr:colOff>
                    <xdr:row>32</xdr:row>
                    <xdr:rowOff>182880</xdr:rowOff>
                  </from>
                  <to>
                    <xdr:col>8</xdr:col>
                    <xdr:colOff>68580</xdr:colOff>
                    <xdr:row>33</xdr:row>
                    <xdr:rowOff>0</xdr:rowOff>
                  </to>
                </anchor>
              </controlPr>
            </control>
          </mc:Choice>
        </mc:AlternateContent>
        <mc:AlternateContent xmlns:mc="http://schemas.openxmlformats.org/markup-compatibility/2006">
          <mc:Choice Requires="x14">
            <control shapeId="156683" r:id="rId15" name="Check Box 11">
              <controlPr defaultSize="0" autoFill="0" autoLine="0" autoPict="0">
                <anchor moveWithCells="1">
                  <from>
                    <xdr:col>2</xdr:col>
                    <xdr:colOff>45720</xdr:colOff>
                    <xdr:row>38</xdr:row>
                    <xdr:rowOff>7620</xdr:rowOff>
                  </from>
                  <to>
                    <xdr:col>12</xdr:col>
                    <xdr:colOff>2689860</xdr:colOff>
                    <xdr:row>39</xdr:row>
                    <xdr:rowOff>0</xdr:rowOff>
                  </to>
                </anchor>
              </controlPr>
            </control>
          </mc:Choice>
        </mc:AlternateContent>
        <mc:AlternateContent xmlns:mc="http://schemas.openxmlformats.org/markup-compatibility/2006">
          <mc:Choice Requires="x14">
            <control shapeId="156684" r:id="rId16" name="Check Box 12">
              <controlPr defaultSize="0" autoFill="0" autoLine="0" autoPict="0">
                <anchor moveWithCells="1">
                  <from>
                    <xdr:col>1</xdr:col>
                    <xdr:colOff>0</xdr:colOff>
                    <xdr:row>11</xdr:row>
                    <xdr:rowOff>0</xdr:rowOff>
                  </from>
                  <to>
                    <xdr:col>1</xdr:col>
                    <xdr:colOff>2933700</xdr:colOff>
                    <xdr:row>12</xdr:row>
                    <xdr:rowOff>83820</xdr:rowOff>
                  </to>
                </anchor>
              </controlPr>
            </control>
          </mc:Choice>
        </mc:AlternateContent>
        <mc:AlternateContent xmlns:mc="http://schemas.openxmlformats.org/markup-compatibility/2006">
          <mc:Choice Requires="x14">
            <control shapeId="156685" r:id="rId17" name="Check Box 13">
              <controlPr defaultSize="0" autoFill="0" autoLine="0" autoPict="0">
                <anchor moveWithCells="1">
                  <from>
                    <xdr:col>2</xdr:col>
                    <xdr:colOff>99060</xdr:colOff>
                    <xdr:row>32</xdr:row>
                    <xdr:rowOff>0</xdr:rowOff>
                  </from>
                  <to>
                    <xdr:col>5</xdr:col>
                    <xdr:colOff>411480</xdr:colOff>
                    <xdr:row>33</xdr:row>
                    <xdr:rowOff>0</xdr:rowOff>
                  </to>
                </anchor>
              </controlPr>
            </control>
          </mc:Choice>
        </mc:AlternateContent>
        <mc:AlternateContent xmlns:mc="http://schemas.openxmlformats.org/markup-compatibility/2006">
          <mc:Choice Requires="x14">
            <control shapeId="156686" r:id="rId18" name="Check Box 14">
              <controlPr defaultSize="0" autoFill="0" autoLine="0" autoPict="0">
                <anchor moveWithCells="1">
                  <from>
                    <xdr:col>2</xdr:col>
                    <xdr:colOff>99060</xdr:colOff>
                    <xdr:row>34</xdr:row>
                    <xdr:rowOff>0</xdr:rowOff>
                  </from>
                  <to>
                    <xdr:col>7</xdr:col>
                    <xdr:colOff>7620</xdr:colOff>
                    <xdr:row>34</xdr:row>
                    <xdr:rowOff>160020</xdr:rowOff>
                  </to>
                </anchor>
              </controlPr>
            </control>
          </mc:Choice>
        </mc:AlternateContent>
        <mc:AlternateContent xmlns:mc="http://schemas.openxmlformats.org/markup-compatibility/2006">
          <mc:Choice Requires="x14">
            <control shapeId="156687" r:id="rId19" name="Check Box 15">
              <controlPr defaultSize="0" autoFill="0" autoLine="0" autoPict="0">
                <anchor moveWithCells="1">
                  <from>
                    <xdr:col>2</xdr:col>
                    <xdr:colOff>99060</xdr:colOff>
                    <xdr:row>32</xdr:row>
                    <xdr:rowOff>182880</xdr:rowOff>
                  </from>
                  <to>
                    <xdr:col>8</xdr:col>
                    <xdr:colOff>68580</xdr:colOff>
                    <xdr:row>33</xdr:row>
                    <xdr:rowOff>0</xdr:rowOff>
                  </to>
                </anchor>
              </controlPr>
            </control>
          </mc:Choice>
        </mc:AlternateContent>
        <mc:AlternateContent xmlns:mc="http://schemas.openxmlformats.org/markup-compatibility/2006">
          <mc:Choice Requires="x14">
            <control shapeId="156688" r:id="rId20" name="Check Box 16">
              <controlPr defaultSize="0" autoFill="0" autoLine="0" autoPict="0">
                <anchor moveWithCells="1">
                  <from>
                    <xdr:col>2</xdr:col>
                    <xdr:colOff>38100</xdr:colOff>
                    <xdr:row>36</xdr:row>
                    <xdr:rowOff>30480</xdr:rowOff>
                  </from>
                  <to>
                    <xdr:col>13</xdr:col>
                    <xdr:colOff>480060</xdr:colOff>
                    <xdr:row>36</xdr:row>
                    <xdr:rowOff>160020</xdr:rowOff>
                  </to>
                </anchor>
              </controlPr>
            </control>
          </mc:Choice>
        </mc:AlternateContent>
        <mc:AlternateContent xmlns:mc="http://schemas.openxmlformats.org/markup-compatibility/2006">
          <mc:Choice Requires="x14">
            <control shapeId="156689" r:id="rId21" name="Check Box 17">
              <controlPr defaultSize="0" autoFill="0" autoLine="0" autoPict="0">
                <anchor moveWithCells="1">
                  <from>
                    <xdr:col>2</xdr:col>
                    <xdr:colOff>45720</xdr:colOff>
                    <xdr:row>37</xdr:row>
                    <xdr:rowOff>30480</xdr:rowOff>
                  </from>
                  <to>
                    <xdr:col>14</xdr:col>
                    <xdr:colOff>236220</xdr:colOff>
                    <xdr:row>38</xdr:row>
                    <xdr:rowOff>0</xdr:rowOff>
                  </to>
                </anchor>
              </controlPr>
            </control>
          </mc:Choice>
        </mc:AlternateContent>
        <mc:AlternateContent xmlns:mc="http://schemas.openxmlformats.org/markup-compatibility/2006">
          <mc:Choice Requires="x14">
            <control shapeId="156690" r:id="rId22" name="Check Box 18">
              <controlPr defaultSize="0" autoFill="0" autoLine="0" autoPict="0">
                <anchor moveWithCells="1">
                  <from>
                    <xdr:col>2</xdr:col>
                    <xdr:colOff>45720</xdr:colOff>
                    <xdr:row>38</xdr:row>
                    <xdr:rowOff>7620</xdr:rowOff>
                  </from>
                  <to>
                    <xdr:col>12</xdr:col>
                    <xdr:colOff>2689860</xdr:colOff>
                    <xdr:row>39</xdr:row>
                    <xdr:rowOff>0</xdr:rowOff>
                  </to>
                </anchor>
              </controlPr>
            </control>
          </mc:Choice>
        </mc:AlternateContent>
        <mc:AlternateContent xmlns:mc="http://schemas.openxmlformats.org/markup-compatibility/2006">
          <mc:Choice Requires="x14">
            <control shapeId="156691" r:id="rId23" name="Check Box 19">
              <controlPr defaultSize="0" autoFill="0" autoLine="0" autoPict="0">
                <anchor moveWithCells="1">
                  <from>
                    <xdr:col>1</xdr:col>
                    <xdr:colOff>0</xdr:colOff>
                    <xdr:row>11</xdr:row>
                    <xdr:rowOff>0</xdr:rowOff>
                  </from>
                  <to>
                    <xdr:col>1</xdr:col>
                    <xdr:colOff>2933700</xdr:colOff>
                    <xdr:row>12</xdr:row>
                    <xdr:rowOff>83820</xdr:rowOff>
                  </to>
                </anchor>
              </controlPr>
            </control>
          </mc:Choice>
        </mc:AlternateContent>
        <mc:AlternateContent xmlns:mc="http://schemas.openxmlformats.org/markup-compatibility/2006">
          <mc:Choice Requires="x14">
            <control shapeId="156692" r:id="rId24" name="Check Box 20">
              <controlPr defaultSize="0" autoFill="0" autoLine="0" autoPict="0">
                <anchor moveWithCells="1">
                  <from>
                    <xdr:col>2</xdr:col>
                    <xdr:colOff>99060</xdr:colOff>
                    <xdr:row>32</xdr:row>
                    <xdr:rowOff>0</xdr:rowOff>
                  </from>
                  <to>
                    <xdr:col>5</xdr:col>
                    <xdr:colOff>411480</xdr:colOff>
                    <xdr:row>33</xdr:row>
                    <xdr:rowOff>0</xdr:rowOff>
                  </to>
                </anchor>
              </controlPr>
            </control>
          </mc:Choice>
        </mc:AlternateContent>
        <mc:AlternateContent xmlns:mc="http://schemas.openxmlformats.org/markup-compatibility/2006">
          <mc:Choice Requires="x14">
            <control shapeId="156693" r:id="rId25" name="Check Box 21">
              <controlPr defaultSize="0" autoFill="0" autoLine="0" autoPict="0">
                <anchor moveWithCells="1">
                  <from>
                    <xdr:col>2</xdr:col>
                    <xdr:colOff>99060</xdr:colOff>
                    <xdr:row>34</xdr:row>
                    <xdr:rowOff>0</xdr:rowOff>
                  </from>
                  <to>
                    <xdr:col>7</xdr:col>
                    <xdr:colOff>7620</xdr:colOff>
                    <xdr:row>34</xdr:row>
                    <xdr:rowOff>160020</xdr:rowOff>
                  </to>
                </anchor>
              </controlPr>
            </control>
          </mc:Choice>
        </mc:AlternateContent>
        <mc:AlternateContent xmlns:mc="http://schemas.openxmlformats.org/markup-compatibility/2006">
          <mc:Choice Requires="x14">
            <control shapeId="156694" r:id="rId26" name="Check Box 22">
              <controlPr defaultSize="0" autoFill="0" autoLine="0" autoPict="0">
                <anchor moveWithCells="1">
                  <from>
                    <xdr:col>2</xdr:col>
                    <xdr:colOff>99060</xdr:colOff>
                    <xdr:row>32</xdr:row>
                    <xdr:rowOff>182880</xdr:rowOff>
                  </from>
                  <to>
                    <xdr:col>8</xdr:col>
                    <xdr:colOff>68580</xdr:colOff>
                    <xdr:row>33</xdr:row>
                    <xdr:rowOff>0</xdr:rowOff>
                  </to>
                </anchor>
              </controlPr>
            </control>
          </mc:Choice>
        </mc:AlternateContent>
        <mc:AlternateContent xmlns:mc="http://schemas.openxmlformats.org/markup-compatibility/2006">
          <mc:Choice Requires="x14">
            <control shapeId="156695" r:id="rId27" name="Check Box 23">
              <controlPr defaultSize="0" autoFill="0" autoLine="0" autoPict="0">
                <anchor moveWithCells="1">
                  <from>
                    <xdr:col>2</xdr:col>
                    <xdr:colOff>45720</xdr:colOff>
                    <xdr:row>38</xdr:row>
                    <xdr:rowOff>7620</xdr:rowOff>
                  </from>
                  <to>
                    <xdr:col>12</xdr:col>
                    <xdr:colOff>2689860</xdr:colOff>
                    <xdr:row>39</xdr:row>
                    <xdr:rowOff>0</xdr:rowOff>
                  </to>
                </anchor>
              </controlPr>
            </control>
          </mc:Choice>
        </mc:AlternateContent>
        <mc:AlternateContent xmlns:mc="http://schemas.openxmlformats.org/markup-compatibility/2006">
          <mc:Choice Requires="x14">
            <control shapeId="156696" r:id="rId28" name="Check Box 24">
              <controlPr defaultSize="0" autoFill="0" autoLine="0" autoPict="0">
                <anchor moveWithCells="1">
                  <from>
                    <xdr:col>1</xdr:col>
                    <xdr:colOff>0</xdr:colOff>
                    <xdr:row>11</xdr:row>
                    <xdr:rowOff>0</xdr:rowOff>
                  </from>
                  <to>
                    <xdr:col>1</xdr:col>
                    <xdr:colOff>2933700</xdr:colOff>
                    <xdr:row>12</xdr:row>
                    <xdr:rowOff>83820</xdr:rowOff>
                  </to>
                </anchor>
              </controlPr>
            </control>
          </mc:Choice>
        </mc:AlternateContent>
        <mc:AlternateContent xmlns:mc="http://schemas.openxmlformats.org/markup-compatibility/2006">
          <mc:Choice Requires="x14">
            <control shapeId="156697" r:id="rId29" name="Check Box 25">
              <controlPr defaultSize="0" autoFill="0" autoLine="0" autoPict="0">
                <anchor moveWithCells="1">
                  <from>
                    <xdr:col>2</xdr:col>
                    <xdr:colOff>83820</xdr:colOff>
                    <xdr:row>34</xdr:row>
                    <xdr:rowOff>7620</xdr:rowOff>
                  </from>
                  <to>
                    <xdr:col>7</xdr:col>
                    <xdr:colOff>381000</xdr:colOff>
                    <xdr:row>35</xdr:row>
                    <xdr:rowOff>22860</xdr:rowOff>
                  </to>
                </anchor>
              </controlPr>
            </control>
          </mc:Choice>
        </mc:AlternateContent>
        <mc:AlternateContent xmlns:mc="http://schemas.openxmlformats.org/markup-compatibility/2006">
          <mc:Choice Requires="x14">
            <control shapeId="156698" r:id="rId30" name="Check Box 26">
              <controlPr defaultSize="0" autoFill="0" autoLine="0" autoPict="0">
                <anchor moveWithCells="1">
                  <from>
                    <xdr:col>2</xdr:col>
                    <xdr:colOff>99060</xdr:colOff>
                    <xdr:row>35</xdr:row>
                    <xdr:rowOff>0</xdr:rowOff>
                  </from>
                  <to>
                    <xdr:col>5</xdr:col>
                    <xdr:colOff>464820</xdr:colOff>
                    <xdr:row>36</xdr:row>
                    <xdr:rowOff>7620</xdr:rowOff>
                  </to>
                </anchor>
              </controlPr>
            </control>
          </mc:Choice>
        </mc:AlternateContent>
        <mc:AlternateContent xmlns:mc="http://schemas.openxmlformats.org/markup-compatibility/2006">
          <mc:Choice Requires="x14">
            <control shapeId="156699" r:id="rId31" name="Check Box 27">
              <controlPr defaultSize="0" autoFill="0" autoLine="0" autoPict="0">
                <anchor moveWithCells="1">
                  <from>
                    <xdr:col>2</xdr:col>
                    <xdr:colOff>99060</xdr:colOff>
                    <xdr:row>37</xdr:row>
                    <xdr:rowOff>0</xdr:rowOff>
                  </from>
                  <to>
                    <xdr:col>7</xdr:col>
                    <xdr:colOff>0</xdr:colOff>
                    <xdr:row>37</xdr:row>
                    <xdr:rowOff>160020</xdr:rowOff>
                  </to>
                </anchor>
              </controlPr>
            </control>
          </mc:Choice>
        </mc:AlternateContent>
        <mc:AlternateContent xmlns:mc="http://schemas.openxmlformats.org/markup-compatibility/2006">
          <mc:Choice Requires="x14">
            <control shapeId="156700" r:id="rId32" name="Check Box 28">
              <controlPr defaultSize="0" autoFill="0" autoLine="0" autoPict="0">
                <anchor moveWithCells="1">
                  <from>
                    <xdr:col>2</xdr:col>
                    <xdr:colOff>99060</xdr:colOff>
                    <xdr:row>35</xdr:row>
                    <xdr:rowOff>182880</xdr:rowOff>
                  </from>
                  <to>
                    <xdr:col>8</xdr:col>
                    <xdr:colOff>45720</xdr:colOff>
                    <xdr:row>36</xdr:row>
                    <xdr:rowOff>182880</xdr:rowOff>
                  </to>
                </anchor>
              </controlPr>
            </control>
          </mc:Choice>
        </mc:AlternateContent>
        <mc:AlternateContent xmlns:mc="http://schemas.openxmlformats.org/markup-compatibility/2006">
          <mc:Choice Requires="x14">
            <control shapeId="156701" r:id="rId33" name="Check Box 29">
              <controlPr defaultSize="0" autoFill="0" autoLine="0" autoPict="0">
                <anchor moveWithCells="1">
                  <from>
                    <xdr:col>2</xdr:col>
                    <xdr:colOff>38100</xdr:colOff>
                    <xdr:row>39</xdr:row>
                    <xdr:rowOff>30480</xdr:rowOff>
                  </from>
                  <to>
                    <xdr:col>13</xdr:col>
                    <xdr:colOff>457200</xdr:colOff>
                    <xdr:row>39</xdr:row>
                    <xdr:rowOff>160020</xdr:rowOff>
                  </to>
                </anchor>
              </controlPr>
            </control>
          </mc:Choice>
        </mc:AlternateContent>
        <mc:AlternateContent xmlns:mc="http://schemas.openxmlformats.org/markup-compatibility/2006">
          <mc:Choice Requires="x14">
            <control shapeId="156702" r:id="rId34" name="Check Box 30">
              <controlPr defaultSize="0" autoFill="0" autoLine="0" autoPict="0">
                <anchor moveWithCells="1">
                  <from>
                    <xdr:col>2</xdr:col>
                    <xdr:colOff>45720</xdr:colOff>
                    <xdr:row>40</xdr:row>
                    <xdr:rowOff>30480</xdr:rowOff>
                  </from>
                  <to>
                    <xdr:col>14</xdr:col>
                    <xdr:colOff>198120</xdr:colOff>
                    <xdr:row>41</xdr:row>
                    <xdr:rowOff>0</xdr:rowOff>
                  </to>
                </anchor>
              </controlPr>
            </control>
          </mc:Choice>
        </mc:AlternateContent>
        <mc:AlternateContent xmlns:mc="http://schemas.openxmlformats.org/markup-compatibility/2006">
          <mc:Choice Requires="x14">
            <control shapeId="156703" r:id="rId35" name="Check Box 31">
              <controlPr defaultSize="0" autoFill="0" autoLine="0" autoPict="0">
                <anchor moveWithCells="1">
                  <from>
                    <xdr:col>2</xdr:col>
                    <xdr:colOff>45720</xdr:colOff>
                    <xdr:row>41</xdr:row>
                    <xdr:rowOff>7620</xdr:rowOff>
                  </from>
                  <to>
                    <xdr:col>12</xdr:col>
                    <xdr:colOff>2674620</xdr:colOff>
                    <xdr:row>42</xdr:row>
                    <xdr:rowOff>7620</xdr:rowOff>
                  </to>
                </anchor>
              </controlPr>
            </control>
          </mc:Choice>
        </mc:AlternateContent>
        <mc:AlternateContent xmlns:mc="http://schemas.openxmlformats.org/markup-compatibility/2006">
          <mc:Choice Requires="x14">
            <control shapeId="156704" r:id="rId36" name="Check Box 32">
              <controlPr defaultSize="0" autoFill="0" autoLine="0" autoPict="0">
                <anchor moveWithCells="1">
                  <from>
                    <xdr:col>1</xdr:col>
                    <xdr:colOff>0</xdr:colOff>
                    <xdr:row>12</xdr:row>
                    <xdr:rowOff>0</xdr:rowOff>
                  </from>
                  <to>
                    <xdr:col>1</xdr:col>
                    <xdr:colOff>2933700</xdr:colOff>
                    <xdr:row>13</xdr:row>
                    <xdr:rowOff>68580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workbookViewId="0">
      <selection activeCell="I9" sqref="I9"/>
    </sheetView>
  </sheetViews>
  <sheetFormatPr defaultColWidth="9.109375" defaultRowHeight="15.6"/>
  <cols>
    <col min="1" max="1" width="9.109375" style="71"/>
    <col min="2" max="2" width="13.5546875" style="71" customWidth="1"/>
    <col min="3" max="3" width="11.44140625" style="71" customWidth="1"/>
    <col min="4" max="4" width="20.44140625" style="71" customWidth="1"/>
    <col min="5" max="5" width="24.109375" style="71" customWidth="1"/>
    <col min="6" max="6" width="11.44140625" style="71" customWidth="1"/>
    <col min="7" max="8" width="10.6640625" style="71" customWidth="1"/>
    <col min="9" max="9" width="63.5546875" style="71" customWidth="1"/>
    <col min="10" max="10" width="32" style="71" customWidth="1"/>
    <col min="11" max="11" width="16.44140625" style="71" customWidth="1"/>
    <col min="12" max="15" width="20.109375" style="71" customWidth="1"/>
    <col min="16" max="16" width="26.109375" style="71" customWidth="1"/>
    <col min="17" max="17" width="18.109375" style="71" customWidth="1"/>
    <col min="18" max="18" width="15.33203125" style="71" customWidth="1"/>
    <col min="19" max="19" width="15.6640625" style="71" customWidth="1"/>
    <col min="20" max="20" width="10.6640625" style="71" customWidth="1"/>
    <col min="21" max="21" width="11.44140625" style="71" customWidth="1"/>
    <col min="22" max="22" width="9.109375" style="71"/>
    <col min="23" max="23" width="14.88671875" style="71" hidden="1" customWidth="1"/>
    <col min="24" max="16384" width="9.109375" style="71"/>
  </cols>
  <sheetData>
    <row r="1" spans="1:16">
      <c r="A1" s="2" t="s">
        <v>176</v>
      </c>
    </row>
    <row r="2" spans="1:16" ht="18">
      <c r="A2" s="118"/>
    </row>
    <row r="3" spans="1:16">
      <c r="A3" s="2" t="s">
        <v>268</v>
      </c>
    </row>
    <row r="5" spans="1:16">
      <c r="B5" s="119" t="s">
        <v>725</v>
      </c>
      <c r="E5" s="811" t="s">
        <v>640</v>
      </c>
      <c r="F5" s="811"/>
      <c r="G5" s="811"/>
      <c r="H5" s="811"/>
      <c r="I5" s="811"/>
    </row>
    <row r="7" spans="1:16" ht="42" customHeight="1">
      <c r="B7" s="779" t="s">
        <v>5</v>
      </c>
      <c r="C7" s="779"/>
      <c r="D7" s="775" t="s">
        <v>124</v>
      </c>
      <c r="E7" s="775"/>
      <c r="F7" s="780" t="s">
        <v>123</v>
      </c>
      <c r="G7" s="781"/>
      <c r="H7" s="782"/>
      <c r="I7" s="773" t="s">
        <v>175</v>
      </c>
      <c r="J7" s="773" t="s">
        <v>174</v>
      </c>
      <c r="K7" s="773" t="s">
        <v>180</v>
      </c>
      <c r="L7" s="773" t="s">
        <v>181</v>
      </c>
      <c r="M7" s="775" t="s">
        <v>122</v>
      </c>
      <c r="N7" s="773" t="s">
        <v>121</v>
      </c>
      <c r="O7" s="773" t="s">
        <v>173</v>
      </c>
      <c r="P7" s="775" t="s">
        <v>183</v>
      </c>
    </row>
    <row r="8" spans="1:16" ht="22.5" customHeight="1">
      <c r="B8" s="354" t="s">
        <v>1</v>
      </c>
      <c r="C8" s="354" t="s">
        <v>20</v>
      </c>
      <c r="D8" s="353" t="s">
        <v>120</v>
      </c>
      <c r="E8" s="354" t="s">
        <v>20</v>
      </c>
      <c r="F8" s="354" t="s">
        <v>54</v>
      </c>
      <c r="G8" s="354" t="s">
        <v>72</v>
      </c>
      <c r="H8" s="354" t="s">
        <v>97</v>
      </c>
      <c r="I8" s="774"/>
      <c r="J8" s="774"/>
      <c r="K8" s="774"/>
      <c r="L8" s="774"/>
      <c r="M8" s="775"/>
      <c r="N8" s="774"/>
      <c r="O8" s="774"/>
      <c r="P8" s="775"/>
    </row>
    <row r="9" spans="1:16" ht="291.60000000000002">
      <c r="B9" s="355">
        <v>1016</v>
      </c>
      <c r="C9" s="355">
        <v>11004</v>
      </c>
      <c r="D9" s="355" t="s">
        <v>602</v>
      </c>
      <c r="E9" s="360" t="s">
        <v>603</v>
      </c>
      <c r="F9" s="359">
        <v>653000</v>
      </c>
      <c r="G9" s="359">
        <v>522100</v>
      </c>
      <c r="H9" s="359">
        <v>858600</v>
      </c>
      <c r="I9" s="360" t="s">
        <v>604</v>
      </c>
      <c r="J9" s="360" t="s">
        <v>605</v>
      </c>
      <c r="K9" s="355"/>
      <c r="L9" s="360" t="s">
        <v>606</v>
      </c>
      <c r="M9" s="355">
        <v>2027</v>
      </c>
      <c r="N9" s="355" t="s">
        <v>587</v>
      </c>
      <c r="O9" s="355"/>
      <c r="P9" s="355"/>
    </row>
    <row r="10" spans="1:16">
      <c r="B10" s="70" t="s">
        <v>9</v>
      </c>
      <c r="C10" s="70"/>
      <c r="D10" s="70"/>
      <c r="E10" s="70"/>
      <c r="F10" s="361">
        <f>F9</f>
        <v>653000</v>
      </c>
      <c r="G10" s="361">
        <f>G9</f>
        <v>522100</v>
      </c>
      <c r="H10" s="361">
        <f>H9</f>
        <v>858600</v>
      </c>
      <c r="I10" s="70"/>
      <c r="J10" s="70"/>
      <c r="K10" s="151"/>
      <c r="L10" s="151"/>
      <c r="M10" s="151"/>
      <c r="N10" s="151"/>
      <c r="O10" s="151"/>
      <c r="P10" s="70"/>
    </row>
    <row r="11" spans="1:16" hidden="1">
      <c r="B11" s="776" t="s">
        <v>9</v>
      </c>
      <c r="C11" s="777"/>
      <c r="D11" s="777"/>
      <c r="E11" s="778"/>
      <c r="F11" s="147">
        <f>SUM(F9:F10)</f>
        <v>1306000</v>
      </c>
      <c r="G11" s="147">
        <f>SUM(G9:G10)</f>
        <v>1044200</v>
      </c>
      <c r="H11" s="147">
        <f>SUM(H9:H10)</f>
        <v>1717200</v>
      </c>
      <c r="I11" s="117" t="s">
        <v>39</v>
      </c>
      <c r="J11" s="117" t="s">
        <v>39</v>
      </c>
      <c r="K11" s="117" t="s">
        <v>39</v>
      </c>
      <c r="L11" s="117" t="s">
        <v>39</v>
      </c>
      <c r="M11" s="117"/>
      <c r="N11" s="117"/>
      <c r="O11" s="117"/>
      <c r="P11" s="117" t="s">
        <v>39</v>
      </c>
    </row>
    <row r="13" spans="1:16" ht="26.25" customHeight="1"/>
    <row r="14" spans="1:16" ht="15.6" hidden="1" customHeight="1"/>
  </sheetData>
  <mergeCells count="13">
    <mergeCell ref="O7:O8"/>
    <mergeCell ref="P7:P8"/>
    <mergeCell ref="B7:C7"/>
    <mergeCell ref="D7:E7"/>
    <mergeCell ref="F7:H7"/>
    <mergeCell ref="I7:I8"/>
    <mergeCell ref="J7:J8"/>
    <mergeCell ref="K7:K8"/>
    <mergeCell ref="B11:E11"/>
    <mergeCell ref="L7:L8"/>
    <mergeCell ref="M7:M8"/>
    <mergeCell ref="N7:N8"/>
    <mergeCell ref="E5:I5"/>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124"/>
  <sheetViews>
    <sheetView workbookViewId="0">
      <selection activeCell="E8" sqref="E8"/>
    </sheetView>
  </sheetViews>
  <sheetFormatPr defaultColWidth="9.109375" defaultRowHeight="13.2"/>
  <cols>
    <col min="1" max="1" width="9.109375" style="73"/>
    <col min="2" max="2" width="34" style="578" customWidth="1"/>
    <col min="3" max="3" width="14.88671875" style="73" customWidth="1"/>
    <col min="4" max="4" width="23.109375" style="73" customWidth="1"/>
    <col min="5" max="6" width="16.6640625" style="73" customWidth="1"/>
    <col min="7" max="7" width="28.33203125" style="73" customWidth="1"/>
    <col min="8" max="8" width="4" style="73" hidden="1" customWidth="1"/>
    <col min="9" max="10" width="7.88671875" style="73" hidden="1" customWidth="1"/>
    <col min="11" max="16384" width="9.109375" style="73"/>
  </cols>
  <sheetData>
    <row r="1" spans="1:10" s="514" customFormat="1" ht="30" customHeight="1">
      <c r="A1" s="864" t="s">
        <v>811</v>
      </c>
      <c r="B1" s="864"/>
      <c r="C1" s="864"/>
      <c r="D1" s="515"/>
      <c r="E1" s="513"/>
      <c r="F1" s="513"/>
    </row>
    <row r="2" spans="1:10" ht="51" customHeight="1">
      <c r="A2" s="517"/>
      <c r="B2" s="833" t="s">
        <v>892</v>
      </c>
      <c r="C2" s="834"/>
      <c r="D2" s="835"/>
      <c r="E2" s="513"/>
      <c r="F2" s="513"/>
      <c r="H2" s="513" t="s">
        <v>128</v>
      </c>
      <c r="I2" s="73" t="s">
        <v>129</v>
      </c>
      <c r="J2" s="519" t="s">
        <v>130</v>
      </c>
    </row>
    <row r="3" spans="1:10" ht="29.25" customHeight="1">
      <c r="A3" s="520" t="s">
        <v>131</v>
      </c>
      <c r="B3" s="518"/>
      <c r="C3" s="515"/>
      <c r="D3" s="515"/>
      <c r="E3" s="513"/>
      <c r="F3" s="513"/>
      <c r="H3" s="513" t="s">
        <v>132</v>
      </c>
      <c r="I3" s="73" t="s">
        <v>133</v>
      </c>
      <c r="J3" s="519" t="s">
        <v>134</v>
      </c>
    </row>
    <row r="4" spans="1:10">
      <c r="A4" s="517"/>
      <c r="B4" s="518"/>
      <c r="C4" s="515"/>
      <c r="D4" s="515"/>
      <c r="E4" s="513"/>
      <c r="F4" s="513"/>
      <c r="H4" s="513" t="s">
        <v>135</v>
      </c>
      <c r="J4" s="519" t="s">
        <v>136</v>
      </c>
    </row>
    <row r="5" spans="1:10" ht="59.25" customHeight="1">
      <c r="A5" s="517"/>
      <c r="B5" s="125" t="s">
        <v>814</v>
      </c>
      <c r="C5" s="865" t="s">
        <v>893</v>
      </c>
      <c r="D5" s="865"/>
      <c r="E5" s="513"/>
      <c r="F5" s="513"/>
      <c r="G5" s="513"/>
    </row>
    <row r="6" spans="1:10" ht="60" customHeight="1">
      <c r="A6" s="517"/>
      <c r="B6" s="125" t="s">
        <v>199</v>
      </c>
      <c r="C6" s="843" t="s">
        <v>894</v>
      </c>
      <c r="D6" s="843"/>
      <c r="E6" s="513"/>
      <c r="F6" s="513"/>
      <c r="G6" s="513"/>
    </row>
    <row r="7" spans="1:10">
      <c r="A7" s="517"/>
      <c r="B7" s="518"/>
      <c r="C7" s="515"/>
      <c r="D7" s="515"/>
      <c r="E7" s="513"/>
      <c r="F7" s="513"/>
      <c r="G7" s="513"/>
    </row>
    <row r="8" spans="1:10">
      <c r="A8" s="520" t="s">
        <v>137</v>
      </c>
      <c r="B8" s="518"/>
      <c r="C8" s="515"/>
      <c r="D8" s="515"/>
      <c r="E8" s="513"/>
      <c r="F8" s="513"/>
      <c r="G8" s="513"/>
    </row>
    <row r="9" spans="1:10">
      <c r="A9" s="520"/>
      <c r="B9" s="518"/>
      <c r="C9" s="515"/>
      <c r="D9" s="515"/>
      <c r="E9" s="513"/>
      <c r="F9" s="513"/>
      <c r="G9" s="513"/>
    </row>
    <row r="10" spans="1:10" ht="45.75" customHeight="1">
      <c r="A10" s="520"/>
      <c r="B10" s="125" t="s">
        <v>816</v>
      </c>
      <c r="C10" s="866" t="s">
        <v>602</v>
      </c>
      <c r="D10" s="866"/>
      <c r="E10" s="610"/>
      <c r="F10" s="610"/>
      <c r="G10" s="513"/>
    </row>
    <row r="11" spans="1:10">
      <c r="A11" s="520"/>
      <c r="B11" s="125" t="s">
        <v>817</v>
      </c>
      <c r="C11" s="867">
        <v>1016</v>
      </c>
      <c r="D11" s="867"/>
      <c r="G11" s="513"/>
    </row>
    <row r="12" spans="1:10" s="610" customFormat="1" ht="111" customHeight="1">
      <c r="A12" s="611"/>
      <c r="B12" s="612"/>
      <c r="C12" s="805" t="s">
        <v>895</v>
      </c>
      <c r="D12" s="805"/>
      <c r="E12" s="613"/>
      <c r="F12" s="613"/>
      <c r="G12" s="613"/>
    </row>
    <row r="13" spans="1:10" ht="26.4">
      <c r="A13" s="520"/>
      <c r="B13" s="125" t="s">
        <v>138</v>
      </c>
      <c r="C13" s="867" t="s">
        <v>896</v>
      </c>
      <c r="D13" s="867"/>
      <c r="E13" s="513"/>
      <c r="F13" s="513"/>
      <c r="G13" s="513"/>
    </row>
    <row r="14" spans="1:10" ht="26.4">
      <c r="A14" s="520"/>
      <c r="B14" s="125" t="s">
        <v>818</v>
      </c>
      <c r="C14" s="867" t="s">
        <v>897</v>
      </c>
      <c r="D14" s="867"/>
      <c r="E14" s="513"/>
      <c r="F14" s="513"/>
      <c r="G14" s="513"/>
    </row>
    <row r="15" spans="1:10">
      <c r="A15" s="520"/>
      <c r="B15" s="518"/>
      <c r="C15" s="115"/>
      <c r="D15" s="515"/>
      <c r="E15" s="513"/>
      <c r="F15" s="513"/>
      <c r="G15" s="513"/>
    </row>
    <row r="16" spans="1:10">
      <c r="A16" s="520" t="s">
        <v>139</v>
      </c>
      <c r="B16" s="518"/>
      <c r="C16" s="115"/>
      <c r="D16" s="515"/>
      <c r="E16" s="513"/>
      <c r="F16" s="513"/>
      <c r="G16" s="513"/>
    </row>
    <row r="17" spans="1:32" ht="61.5" customHeight="1">
      <c r="B17" s="125" t="s">
        <v>252</v>
      </c>
      <c r="C17" s="836" t="s">
        <v>603</v>
      </c>
      <c r="D17" s="836"/>
      <c r="E17" s="513"/>
      <c r="F17" s="513"/>
      <c r="G17" s="513"/>
    </row>
    <row r="18" spans="1:32">
      <c r="A18" s="520"/>
      <c r="B18" s="125" t="s">
        <v>83</v>
      </c>
      <c r="C18" s="836">
        <v>11007</v>
      </c>
      <c r="D18" s="836"/>
      <c r="E18" s="513"/>
      <c r="F18" s="513"/>
      <c r="G18" s="513"/>
    </row>
    <row r="19" spans="1:32">
      <c r="A19" s="520"/>
      <c r="B19" s="515"/>
      <c r="C19" s="515"/>
      <c r="D19" s="515"/>
      <c r="E19" s="513"/>
      <c r="F19" s="513"/>
      <c r="G19" s="513"/>
    </row>
    <row r="20" spans="1:32" ht="26.25" customHeight="1">
      <c r="A20" s="520"/>
      <c r="B20" s="125" t="s">
        <v>898</v>
      </c>
      <c r="C20" s="868" t="s">
        <v>128</v>
      </c>
      <c r="D20" s="868"/>
      <c r="F20" s="513"/>
      <c r="G20" s="513"/>
    </row>
    <row r="21" spans="1:32">
      <c r="A21" s="520"/>
      <c r="B21" s="73"/>
      <c r="C21" s="614"/>
      <c r="F21" s="513"/>
      <c r="G21" s="513"/>
    </row>
    <row r="22" spans="1:32">
      <c r="A22" s="520"/>
      <c r="B22" s="518"/>
      <c r="C22" s="115"/>
      <c r="D22" s="515"/>
      <c r="E22" s="513"/>
      <c r="F22" s="513"/>
      <c r="G22" s="513"/>
    </row>
    <row r="23" spans="1:32" ht="13.8">
      <c r="A23" s="520"/>
      <c r="B23" s="125" t="s">
        <v>752</v>
      </c>
      <c r="C23" s="129" t="s">
        <v>129</v>
      </c>
      <c r="F23" s="513"/>
      <c r="G23" s="513"/>
    </row>
    <row r="24" spans="1:32">
      <c r="A24" s="520"/>
      <c r="B24" s="73"/>
      <c r="C24" s="523"/>
      <c r="D24" s="515"/>
      <c r="E24" s="513"/>
      <c r="F24" s="513"/>
      <c r="G24" s="513"/>
    </row>
    <row r="25" spans="1:32">
      <c r="A25" s="520"/>
      <c r="B25" s="518"/>
      <c r="C25" s="115"/>
      <c r="D25" s="515"/>
      <c r="E25" s="513"/>
      <c r="F25" s="513"/>
      <c r="G25" s="513"/>
    </row>
    <row r="26" spans="1:32" ht="15.75" customHeight="1">
      <c r="A26" s="520" t="s">
        <v>140</v>
      </c>
      <c r="B26" s="73"/>
      <c r="C26" s="518"/>
      <c r="D26" s="518"/>
      <c r="E26" s="518"/>
      <c r="F26" s="518"/>
      <c r="G26" s="518"/>
      <c r="H26" s="518"/>
      <c r="I26" s="518"/>
      <c r="J26" s="518"/>
    </row>
    <row r="27" spans="1:32">
      <c r="B27" s="518"/>
      <c r="C27" s="518"/>
      <c r="D27" s="518"/>
      <c r="E27" s="518"/>
      <c r="F27" s="518"/>
      <c r="G27" s="518"/>
      <c r="H27" s="518"/>
      <c r="I27" s="518"/>
      <c r="J27" s="518"/>
    </row>
    <row r="28" spans="1:32" ht="76.5" customHeight="1">
      <c r="B28" s="131" t="s">
        <v>823</v>
      </c>
      <c r="C28" s="131" t="s">
        <v>824</v>
      </c>
      <c r="D28" s="131" t="s">
        <v>825</v>
      </c>
      <c r="E28" s="131" t="s">
        <v>756</v>
      </c>
      <c r="F28" s="518"/>
      <c r="G28" s="518"/>
      <c r="H28" s="518"/>
      <c r="I28" s="518"/>
      <c r="J28" s="518"/>
    </row>
    <row r="29" spans="1:32" ht="96.75" customHeight="1">
      <c r="B29" s="615" t="s">
        <v>134</v>
      </c>
      <c r="C29" s="869" t="s">
        <v>899</v>
      </c>
      <c r="D29" s="869" t="s">
        <v>900</v>
      </c>
      <c r="E29" s="869" t="s">
        <v>901</v>
      </c>
      <c r="F29" s="610"/>
      <c r="G29" s="616"/>
      <c r="H29" s="616"/>
      <c r="I29" s="616"/>
      <c r="J29" s="610"/>
      <c r="K29" s="610"/>
      <c r="L29" s="610"/>
      <c r="M29" s="610"/>
      <c r="N29" s="610"/>
      <c r="O29" s="610"/>
      <c r="P29" s="610"/>
      <c r="Q29" s="610"/>
      <c r="R29" s="610"/>
      <c r="S29" s="610"/>
      <c r="T29" s="610"/>
      <c r="U29" s="610"/>
      <c r="V29" s="610"/>
      <c r="W29" s="610"/>
      <c r="X29" s="610"/>
      <c r="Y29" s="610"/>
      <c r="Z29" s="610"/>
      <c r="AA29" s="610"/>
      <c r="AB29" s="610"/>
      <c r="AC29" s="610"/>
      <c r="AD29" s="610"/>
      <c r="AE29" s="610"/>
      <c r="AF29" s="610"/>
    </row>
    <row r="30" spans="1:32" ht="87" customHeight="1">
      <c r="B30" s="617"/>
      <c r="C30" s="870"/>
      <c r="D30" s="870"/>
      <c r="E30" s="870"/>
      <c r="F30" s="610"/>
      <c r="G30" s="616"/>
      <c r="H30" s="616"/>
      <c r="I30" s="616"/>
      <c r="J30" s="610"/>
      <c r="K30" s="610"/>
      <c r="L30" s="610"/>
      <c r="M30" s="610"/>
      <c r="N30" s="610"/>
      <c r="O30" s="610"/>
      <c r="P30" s="610"/>
      <c r="Q30" s="610"/>
      <c r="R30" s="610"/>
      <c r="S30" s="610"/>
      <c r="T30" s="610"/>
      <c r="U30" s="610"/>
      <c r="V30" s="610"/>
      <c r="W30" s="610"/>
      <c r="X30" s="610"/>
      <c r="Y30" s="610"/>
      <c r="Z30" s="610"/>
      <c r="AA30" s="610"/>
      <c r="AB30" s="610"/>
      <c r="AC30" s="610"/>
      <c r="AD30" s="610"/>
      <c r="AE30" s="610"/>
      <c r="AF30" s="610"/>
    </row>
    <row r="31" spans="1:32" ht="65.25" customHeight="1">
      <c r="B31" s="618"/>
      <c r="C31" s="871"/>
      <c r="D31" s="871"/>
      <c r="E31" s="871"/>
      <c r="F31" s="610"/>
      <c r="G31" s="616"/>
      <c r="H31" s="616"/>
      <c r="I31" s="616"/>
      <c r="J31" s="610"/>
      <c r="K31" s="610"/>
      <c r="L31" s="610"/>
      <c r="M31" s="610"/>
      <c r="N31" s="610"/>
      <c r="O31" s="610"/>
      <c r="P31" s="610"/>
      <c r="Q31" s="610"/>
      <c r="R31" s="610"/>
      <c r="S31" s="610"/>
      <c r="T31" s="610"/>
      <c r="U31" s="610"/>
      <c r="V31" s="610"/>
      <c r="W31" s="610"/>
      <c r="X31" s="610"/>
      <c r="Y31" s="610"/>
      <c r="Z31" s="610"/>
      <c r="AA31" s="610"/>
      <c r="AB31" s="610"/>
      <c r="AC31" s="610"/>
      <c r="AD31" s="610"/>
      <c r="AE31" s="610"/>
      <c r="AF31" s="610"/>
    </row>
    <row r="32" spans="1:32">
      <c r="A32" s="520"/>
      <c r="B32" s="518"/>
      <c r="C32" s="115"/>
      <c r="D32" s="515"/>
      <c r="E32" s="513"/>
      <c r="F32" s="513"/>
      <c r="G32" s="513"/>
    </row>
    <row r="33" spans="1:6" s="527" customFormat="1" ht="20.25" customHeight="1">
      <c r="A33" s="520" t="s">
        <v>141</v>
      </c>
    </row>
    <row r="34" spans="1:6" s="527" customFormat="1" ht="15" customHeight="1"/>
    <row r="35" spans="1:6" s="527" customFormat="1" ht="138.75" customHeight="1">
      <c r="B35" s="125" t="s">
        <v>760</v>
      </c>
      <c r="C35" s="805" t="s">
        <v>902</v>
      </c>
      <c r="D35" s="805"/>
      <c r="E35" s="805"/>
      <c r="F35" s="805"/>
    </row>
    <row r="36" spans="1:6" s="527" customFormat="1" ht="17.25" customHeight="1"/>
    <row r="37" spans="1:6" s="527" customFormat="1" ht="18.75" customHeight="1">
      <c r="B37" s="789" t="s">
        <v>903</v>
      </c>
      <c r="C37" s="528" t="s">
        <v>763</v>
      </c>
    </row>
    <row r="38" spans="1:6" s="527" customFormat="1" ht="18.75" customHeight="1">
      <c r="B38" s="790"/>
    </row>
    <row r="39" spans="1:6" s="527" customFormat="1" ht="18.75" customHeight="1">
      <c r="B39" s="790"/>
    </row>
    <row r="40" spans="1:6" s="527" customFormat="1" ht="18.75" customHeight="1">
      <c r="B40" s="791"/>
      <c r="C40" s="529"/>
    </row>
    <row r="41" spans="1:6" s="527" customFormat="1" ht="15" customHeight="1"/>
    <row r="42" spans="1:6" s="527" customFormat="1" ht="26.25" customHeight="1">
      <c r="B42" s="789" t="s">
        <v>764</v>
      </c>
    </row>
    <row r="43" spans="1:6" s="527" customFormat="1" ht="26.25" customHeight="1">
      <c r="B43" s="790"/>
    </row>
    <row r="44" spans="1:6" s="527" customFormat="1" ht="26.25" customHeight="1">
      <c r="B44" s="791"/>
    </row>
    <row r="45" spans="1:6" s="527" customFormat="1"/>
    <row r="46" spans="1:6" s="527" customFormat="1"/>
    <row r="47" spans="1:6" s="527" customFormat="1">
      <c r="A47" s="863" t="s">
        <v>158</v>
      </c>
      <c r="B47" s="863"/>
    </row>
    <row r="48" spans="1:6" s="527" customFormat="1"/>
    <row r="49" spans="1:7" s="527" customFormat="1" ht="17.25" customHeight="1">
      <c r="B49" s="805" t="s">
        <v>904</v>
      </c>
      <c r="C49" s="805"/>
      <c r="D49" s="805"/>
      <c r="E49" s="805"/>
      <c r="F49" s="805"/>
      <c r="G49" s="805"/>
    </row>
    <row r="50" spans="1:7" s="527" customFormat="1" ht="17.25" customHeight="1">
      <c r="B50" s="805"/>
      <c r="C50" s="805"/>
      <c r="D50" s="805"/>
      <c r="E50" s="805"/>
      <c r="F50" s="805"/>
      <c r="G50" s="805"/>
    </row>
    <row r="51" spans="1:7" s="527" customFormat="1" ht="17.25" customHeight="1">
      <c r="B51" s="805"/>
      <c r="C51" s="805"/>
      <c r="D51" s="805"/>
      <c r="E51" s="805"/>
      <c r="F51" s="805"/>
      <c r="G51" s="805"/>
    </row>
    <row r="52" spans="1:7" s="527" customFormat="1" ht="17.25" customHeight="1">
      <c r="B52" s="805"/>
      <c r="C52" s="805"/>
      <c r="D52" s="805"/>
      <c r="E52" s="805"/>
      <c r="F52" s="805"/>
      <c r="G52" s="805"/>
    </row>
    <row r="53" spans="1:7" s="527" customFormat="1" ht="15" customHeight="1"/>
    <row r="54" spans="1:7" s="527" customFormat="1" ht="15" customHeight="1">
      <c r="A54" s="863" t="s">
        <v>159</v>
      </c>
      <c r="B54" s="863"/>
    </row>
    <row r="55" spans="1:7" s="527" customFormat="1" ht="15" customHeight="1"/>
    <row r="56" spans="1:7" s="527" customFormat="1" ht="16.5" customHeight="1">
      <c r="B56" s="805" t="s">
        <v>606</v>
      </c>
      <c r="C56" s="805"/>
      <c r="D56" s="805"/>
      <c r="E56" s="805"/>
      <c r="F56" s="805"/>
      <c r="G56" s="805"/>
    </row>
    <row r="57" spans="1:7" s="527" customFormat="1" ht="16.5" customHeight="1">
      <c r="B57" s="805"/>
      <c r="C57" s="805"/>
      <c r="D57" s="805"/>
      <c r="E57" s="805"/>
      <c r="F57" s="805"/>
      <c r="G57" s="805"/>
    </row>
    <row r="58" spans="1:7" s="527" customFormat="1" ht="16.5" customHeight="1">
      <c r="B58" s="805"/>
      <c r="C58" s="805"/>
      <c r="D58" s="805"/>
      <c r="E58" s="805"/>
      <c r="F58" s="805"/>
      <c r="G58" s="805"/>
    </row>
    <row r="59" spans="1:7" s="527" customFormat="1" ht="12.75" customHeight="1">
      <c r="B59" s="805"/>
      <c r="C59" s="805"/>
      <c r="D59" s="805"/>
      <c r="E59" s="805"/>
      <c r="F59" s="805"/>
      <c r="G59" s="805"/>
    </row>
    <row r="60" spans="1:7" s="527" customFormat="1" ht="15" customHeight="1"/>
    <row r="61" spans="1:7" s="527" customFormat="1" ht="15" customHeight="1">
      <c r="A61" s="863" t="s">
        <v>905</v>
      </c>
      <c r="B61" s="863"/>
      <c r="C61" s="863"/>
    </row>
    <row r="62" spans="1:7" s="527" customFormat="1" ht="15" customHeight="1"/>
    <row r="63" spans="1:7" s="527" customFormat="1" ht="57.75" customHeight="1">
      <c r="B63" s="805" t="s">
        <v>906</v>
      </c>
      <c r="C63" s="805"/>
      <c r="D63" s="805"/>
      <c r="E63" s="805"/>
      <c r="F63" s="805"/>
      <c r="G63" s="805"/>
    </row>
    <row r="64" spans="1:7" s="527" customFormat="1"/>
    <row r="65" spans="1:7" s="527" customFormat="1">
      <c r="A65" s="520" t="s">
        <v>142</v>
      </c>
    </row>
    <row r="66" spans="1:7" s="527" customFormat="1"/>
    <row r="67" spans="1:7" s="527" customFormat="1" ht="15" customHeight="1">
      <c r="B67" s="786" t="s">
        <v>837</v>
      </c>
      <c r="C67" s="786" t="s">
        <v>143</v>
      </c>
      <c r="D67" s="872" t="s">
        <v>907</v>
      </c>
      <c r="E67" s="872" t="s">
        <v>54</v>
      </c>
      <c r="F67" s="872" t="s">
        <v>72</v>
      </c>
      <c r="G67" s="470" t="s">
        <v>146</v>
      </c>
    </row>
    <row r="68" spans="1:7" s="527" customFormat="1" ht="22.5" customHeight="1">
      <c r="B68" s="787"/>
      <c r="C68" s="787"/>
      <c r="D68" s="873"/>
      <c r="E68" s="873"/>
      <c r="F68" s="873"/>
      <c r="G68" s="470" t="str">
        <f>C14</f>
        <v>2028թ․ և շարունակական</v>
      </c>
    </row>
    <row r="69" spans="1:7" ht="27" customHeight="1">
      <c r="B69" s="533" t="s">
        <v>908</v>
      </c>
      <c r="C69" s="533" t="s">
        <v>775</v>
      </c>
      <c r="D69" s="619">
        <v>30</v>
      </c>
      <c r="E69" s="619">
        <v>60</v>
      </c>
      <c r="F69" s="619">
        <v>100</v>
      </c>
      <c r="G69" s="620" t="s">
        <v>909</v>
      </c>
    </row>
    <row r="70" spans="1:7" ht="27" customHeight="1">
      <c r="B70" s="533" t="s">
        <v>910</v>
      </c>
      <c r="C70" s="533" t="s">
        <v>775</v>
      </c>
      <c r="D70" s="619">
        <v>50</v>
      </c>
      <c r="E70" s="619">
        <v>70</v>
      </c>
      <c r="F70" s="621">
        <v>100</v>
      </c>
      <c r="G70" s="620"/>
    </row>
    <row r="71" spans="1:7" ht="27" customHeight="1">
      <c r="B71" s="533" t="s">
        <v>911</v>
      </c>
      <c r="C71" s="533" t="s">
        <v>775</v>
      </c>
      <c r="D71" s="619">
        <v>30</v>
      </c>
      <c r="E71" s="619">
        <v>60</v>
      </c>
      <c r="F71" s="621">
        <v>100</v>
      </c>
      <c r="G71" s="620"/>
    </row>
    <row r="72" spans="1:7" ht="31.5" customHeight="1">
      <c r="B72" s="533" t="s">
        <v>912</v>
      </c>
      <c r="C72" s="533" t="s">
        <v>772</v>
      </c>
      <c r="D72" s="619">
        <v>20</v>
      </c>
      <c r="E72" s="619">
        <v>20</v>
      </c>
      <c r="F72" s="621">
        <v>20</v>
      </c>
      <c r="G72" s="620"/>
    </row>
    <row r="73" spans="1:7" ht="45" customHeight="1">
      <c r="B73" s="533" t="s">
        <v>913</v>
      </c>
      <c r="C73" s="533" t="s">
        <v>772</v>
      </c>
      <c r="D73" s="619">
        <v>55</v>
      </c>
      <c r="E73" s="619">
        <v>55</v>
      </c>
      <c r="F73" s="621">
        <v>55</v>
      </c>
      <c r="G73" s="620"/>
    </row>
    <row r="74" spans="1:7" ht="45.75" customHeight="1">
      <c r="B74" s="533" t="s">
        <v>914</v>
      </c>
      <c r="C74" s="533" t="s">
        <v>775</v>
      </c>
      <c r="D74" s="619">
        <v>30</v>
      </c>
      <c r="E74" s="619">
        <v>60</v>
      </c>
      <c r="F74" s="621">
        <v>100</v>
      </c>
      <c r="G74" s="620"/>
    </row>
    <row r="75" spans="1:7" ht="40.5" customHeight="1">
      <c r="B75" s="533" t="s">
        <v>915</v>
      </c>
      <c r="C75" s="533" t="s">
        <v>775</v>
      </c>
      <c r="D75" s="619">
        <v>50</v>
      </c>
      <c r="E75" s="619">
        <v>70</v>
      </c>
      <c r="F75" s="621">
        <v>100</v>
      </c>
      <c r="G75" s="620"/>
    </row>
    <row r="76" spans="1:7" ht="31.5" customHeight="1">
      <c r="B76" s="533" t="s">
        <v>916</v>
      </c>
      <c r="C76" s="533" t="s">
        <v>772</v>
      </c>
      <c r="D76" s="619"/>
      <c r="E76" s="619"/>
      <c r="F76" s="621">
        <v>1</v>
      </c>
      <c r="G76" s="620"/>
    </row>
    <row r="77" spans="1:7" ht="24" customHeight="1">
      <c r="B77" s="533" t="s">
        <v>917</v>
      </c>
      <c r="C77" s="533" t="s">
        <v>772</v>
      </c>
      <c r="D77" s="619"/>
      <c r="E77" s="619"/>
      <c r="F77" s="621">
        <v>1</v>
      </c>
      <c r="G77" s="620"/>
    </row>
    <row r="78" spans="1:7">
      <c r="B78" s="527"/>
    </row>
    <row r="79" spans="1:7">
      <c r="A79" s="520" t="s">
        <v>144</v>
      </c>
      <c r="B79" s="527"/>
    </row>
    <row r="80" spans="1:7">
      <c r="B80" s="527"/>
    </row>
    <row r="81" spans="2:7" ht="15" customHeight="1">
      <c r="B81" s="786" t="s">
        <v>838</v>
      </c>
      <c r="C81" s="786" t="s">
        <v>918</v>
      </c>
      <c r="D81" s="874" t="s">
        <v>54</v>
      </c>
      <c r="E81" s="874" t="s">
        <v>72</v>
      </c>
      <c r="F81" s="874" t="s">
        <v>97</v>
      </c>
      <c r="G81" s="470" t="s">
        <v>146</v>
      </c>
    </row>
    <row r="82" spans="2:7">
      <c r="B82" s="787"/>
      <c r="C82" s="787"/>
      <c r="D82" s="875"/>
      <c r="E82" s="875"/>
      <c r="F82" s="875"/>
      <c r="G82" s="470" t="str">
        <f>C14</f>
        <v>2028թ․ և շարունակական</v>
      </c>
    </row>
    <row r="83" spans="2:7" ht="42" customHeight="1">
      <c r="B83" s="622" t="s">
        <v>919</v>
      </c>
      <c r="C83" s="470" t="s">
        <v>10</v>
      </c>
      <c r="D83" s="372"/>
      <c r="E83" s="372"/>
      <c r="F83" s="623"/>
      <c r="G83" s="571"/>
    </row>
    <row r="84" spans="2:7" ht="35.25" customHeight="1">
      <c r="B84" s="624" t="s">
        <v>920</v>
      </c>
      <c r="C84" s="470"/>
      <c r="D84" s="548">
        <v>76000</v>
      </c>
      <c r="E84" s="548">
        <v>64600</v>
      </c>
      <c r="F84" s="549">
        <v>83600</v>
      </c>
      <c r="G84" s="571"/>
    </row>
    <row r="85" spans="2:7" ht="28.5" customHeight="1">
      <c r="B85" s="129" t="s">
        <v>921</v>
      </c>
      <c r="C85" s="470"/>
      <c r="D85" s="548">
        <v>50000</v>
      </c>
      <c r="E85" s="548">
        <v>50000</v>
      </c>
      <c r="F85" s="549">
        <v>50000</v>
      </c>
      <c r="G85" s="571"/>
    </row>
    <row r="86" spans="2:7" ht="27.75" customHeight="1">
      <c r="B86" s="129" t="s">
        <v>922</v>
      </c>
      <c r="C86" s="470"/>
      <c r="D86" s="548">
        <v>6000</v>
      </c>
      <c r="E86" s="548">
        <v>6000</v>
      </c>
      <c r="F86" s="549">
        <v>6000</v>
      </c>
      <c r="G86" s="571"/>
    </row>
    <row r="87" spans="2:7" ht="30" customHeight="1">
      <c r="B87" s="129" t="s">
        <v>923</v>
      </c>
      <c r="C87" s="470"/>
      <c r="D87" s="548">
        <v>187500</v>
      </c>
      <c r="E87" s="548">
        <v>187500</v>
      </c>
      <c r="F87" s="549">
        <v>125000</v>
      </c>
      <c r="G87" s="571"/>
    </row>
    <row r="88" spans="2:7" ht="30" customHeight="1">
      <c r="B88" s="503" t="s">
        <v>924</v>
      </c>
      <c r="C88" s="470"/>
      <c r="D88" s="548"/>
      <c r="E88" s="548"/>
      <c r="F88" s="549">
        <v>20000</v>
      </c>
      <c r="G88" s="571"/>
    </row>
    <row r="89" spans="2:7" ht="49.5" customHeight="1">
      <c r="B89" s="503" t="s">
        <v>925</v>
      </c>
      <c r="C89" s="470"/>
      <c r="D89" s="548">
        <v>240000</v>
      </c>
      <c r="E89" s="548">
        <v>204000</v>
      </c>
      <c r="F89" s="548">
        <v>264000</v>
      </c>
      <c r="G89" s="571"/>
    </row>
    <row r="90" spans="2:7" ht="72" customHeight="1">
      <c r="B90" s="503" t="s">
        <v>926</v>
      </c>
      <c r="C90" s="470"/>
      <c r="D90" s="548">
        <v>59000</v>
      </c>
      <c r="E90" s="548"/>
      <c r="F90" s="549"/>
      <c r="G90" s="571"/>
    </row>
    <row r="91" spans="2:7" ht="45" customHeight="1">
      <c r="B91" s="503" t="s">
        <v>927</v>
      </c>
      <c r="C91" s="470" t="s">
        <v>10</v>
      </c>
      <c r="D91" s="548">
        <v>29500</v>
      </c>
      <c r="E91" s="548"/>
      <c r="F91" s="550"/>
      <c r="G91" s="571"/>
    </row>
    <row r="92" spans="2:7" ht="29.25" customHeight="1">
      <c r="B92" s="503" t="s">
        <v>928</v>
      </c>
      <c r="C92" s="470"/>
      <c r="D92" s="548">
        <v>5000</v>
      </c>
      <c r="E92" s="548">
        <v>10000</v>
      </c>
      <c r="F92" s="549">
        <v>10000</v>
      </c>
      <c r="G92" s="571"/>
    </row>
    <row r="93" spans="2:7" ht="63" customHeight="1">
      <c r="B93" s="503" t="s">
        <v>929</v>
      </c>
      <c r="C93" s="470"/>
      <c r="D93" s="548"/>
      <c r="E93" s="548"/>
      <c r="F93" s="549">
        <v>300000</v>
      </c>
      <c r="G93" s="571"/>
    </row>
    <row r="94" spans="2:7">
      <c r="B94" s="478"/>
      <c r="C94" s="470"/>
      <c r="D94" s="548"/>
      <c r="E94" s="548"/>
      <c r="F94" s="550"/>
      <c r="G94" s="571"/>
    </row>
    <row r="95" spans="2:7">
      <c r="B95" s="478"/>
      <c r="C95" s="470"/>
      <c r="D95" s="548"/>
      <c r="E95" s="548"/>
      <c r="F95" s="549"/>
      <c r="G95" s="571"/>
    </row>
    <row r="96" spans="2:7">
      <c r="B96" s="142" t="s">
        <v>930</v>
      </c>
      <c r="C96" s="142" t="s">
        <v>10</v>
      </c>
      <c r="D96" s="625">
        <f>SUM(D83:D95)</f>
        <v>653000</v>
      </c>
      <c r="E96" s="625">
        <f>SUM(E84:E95)</f>
        <v>522100</v>
      </c>
      <c r="F96" s="625">
        <f>SUM(F84:F95)</f>
        <v>858600</v>
      </c>
      <c r="G96" s="142">
        <f>SUM(G83:G91)</f>
        <v>0</v>
      </c>
    </row>
    <row r="97" spans="1:7">
      <c r="B97" s="73"/>
    </row>
    <row r="98" spans="1:7">
      <c r="A98" s="520" t="s">
        <v>147</v>
      </c>
      <c r="B98" s="73"/>
    </row>
    <row r="99" spans="1:7">
      <c r="B99" s="73"/>
    </row>
    <row r="100" spans="1:7" ht="15" customHeight="1">
      <c r="B100" s="786" t="s">
        <v>864</v>
      </c>
      <c r="C100" s="786" t="s">
        <v>918</v>
      </c>
      <c r="D100" s="809" t="s">
        <v>907</v>
      </c>
      <c r="E100" s="809" t="s">
        <v>54</v>
      </c>
      <c r="F100" s="809" t="s">
        <v>72</v>
      </c>
      <c r="G100" s="470" t="s">
        <v>146</v>
      </c>
    </row>
    <row r="101" spans="1:7">
      <c r="B101" s="787"/>
      <c r="C101" s="787"/>
      <c r="D101" s="810"/>
      <c r="E101" s="810"/>
      <c r="F101" s="810"/>
      <c r="G101" s="470" t="str">
        <f>C14</f>
        <v>2028թ․ և շարունակական</v>
      </c>
    </row>
    <row r="102" spans="1:7" ht="39.6">
      <c r="B102" s="469" t="s">
        <v>931</v>
      </c>
      <c r="C102" s="626" t="s">
        <v>10</v>
      </c>
      <c r="D102" s="627">
        <f>D96</f>
        <v>653000</v>
      </c>
      <c r="E102" s="627">
        <f>E96</f>
        <v>522100</v>
      </c>
      <c r="F102" s="627">
        <f>F96</f>
        <v>858600</v>
      </c>
      <c r="G102" s="142">
        <f>G96</f>
        <v>0</v>
      </c>
    </row>
    <row r="103" spans="1:7" ht="27.75" customHeight="1">
      <c r="B103" s="144" t="s">
        <v>149</v>
      </c>
      <c r="C103" s="626" t="s">
        <v>10</v>
      </c>
      <c r="D103" s="628"/>
      <c r="E103" s="628"/>
      <c r="F103" s="629"/>
      <c r="G103" s="132"/>
    </row>
    <row r="104" spans="1:7" ht="43.5" customHeight="1">
      <c r="B104" s="145" t="s">
        <v>150</v>
      </c>
      <c r="C104" s="626" t="s">
        <v>10</v>
      </c>
      <c r="D104" s="628"/>
      <c r="E104" s="628"/>
      <c r="F104" s="629"/>
      <c r="G104" s="132"/>
    </row>
    <row r="105" spans="1:7" ht="21.75" customHeight="1">
      <c r="B105" s="144" t="s">
        <v>151</v>
      </c>
      <c r="C105" s="626" t="s">
        <v>10</v>
      </c>
      <c r="D105" s="627">
        <f>SUM(D106:D107)</f>
        <v>0</v>
      </c>
      <c r="E105" s="627">
        <f>SUM(E106:E107)</f>
        <v>0</v>
      </c>
      <c r="F105" s="627">
        <f>SUM(F106:F107)</f>
        <v>0</v>
      </c>
      <c r="G105" s="142">
        <f>SUM(G106:G107)</f>
        <v>0</v>
      </c>
    </row>
    <row r="106" spans="1:7" ht="26.4">
      <c r="B106" s="478" t="s">
        <v>932</v>
      </c>
      <c r="C106" s="626" t="s">
        <v>10</v>
      </c>
      <c r="D106" s="628"/>
      <c r="E106" s="628"/>
      <c r="F106" s="629"/>
      <c r="G106" s="132"/>
    </row>
    <row r="107" spans="1:7">
      <c r="B107" s="478"/>
      <c r="C107" s="626" t="s">
        <v>10</v>
      </c>
      <c r="D107" s="628"/>
      <c r="E107" s="628"/>
      <c r="F107" s="629"/>
      <c r="G107" s="132"/>
    </row>
    <row r="108" spans="1:7" ht="24" customHeight="1">
      <c r="B108" s="469" t="s">
        <v>933</v>
      </c>
      <c r="C108" s="626" t="s">
        <v>10</v>
      </c>
      <c r="D108" s="625">
        <f>D102-D105-D104/100000</f>
        <v>653000</v>
      </c>
      <c r="E108" s="625">
        <f>E102</f>
        <v>522100</v>
      </c>
      <c r="F108" s="625">
        <f>F102-F105-F104/1000</f>
        <v>858600</v>
      </c>
      <c r="G108" s="142">
        <f>G102-G105-G104</f>
        <v>0</v>
      </c>
    </row>
    <row r="109" spans="1:7">
      <c r="B109" s="73"/>
    </row>
    <row r="110" spans="1:7" ht="19.5" customHeight="1">
      <c r="A110" s="520" t="s">
        <v>185</v>
      </c>
      <c r="B110" s="73"/>
    </row>
    <row r="111" spans="1:7" ht="21" customHeight="1">
      <c r="B111" s="73"/>
    </row>
    <row r="112" spans="1:7" ht="60" customHeight="1">
      <c r="B112" s="469" t="s">
        <v>866</v>
      </c>
      <c r="C112" s="812" t="s">
        <v>934</v>
      </c>
      <c r="D112" s="813"/>
      <c r="E112" s="813"/>
      <c r="F112" s="813"/>
      <c r="G112" s="814"/>
    </row>
    <row r="113" spans="1:5">
      <c r="B113" s="73"/>
    </row>
    <row r="114" spans="1:5" ht="13.8">
      <c r="A114" s="520" t="s">
        <v>867</v>
      </c>
      <c r="B114" s="630"/>
    </row>
    <row r="115" spans="1:5">
      <c r="B115" s="73"/>
    </row>
    <row r="116" spans="1:5">
      <c r="B116" s="469" t="s">
        <v>186</v>
      </c>
      <c r="C116" s="876"/>
      <c r="D116" s="847"/>
      <c r="E116" s="848"/>
    </row>
    <row r="117" spans="1:5">
      <c r="B117" s="469" t="s">
        <v>187</v>
      </c>
      <c r="C117" s="876"/>
      <c r="D117" s="847"/>
      <c r="E117" s="848"/>
    </row>
    <row r="118" spans="1:5" ht="24.75" customHeight="1">
      <c r="A118" s="520" t="s">
        <v>868</v>
      </c>
      <c r="B118" s="73"/>
    </row>
    <row r="119" spans="1:5">
      <c r="B119" s="73"/>
    </row>
    <row r="120" spans="1:5" ht="50.25" customHeight="1">
      <c r="B120" s="812" t="s">
        <v>935</v>
      </c>
      <c r="C120" s="813"/>
      <c r="D120" s="813"/>
      <c r="E120" s="814"/>
    </row>
    <row r="122" spans="1:5">
      <c r="A122" s="520" t="s">
        <v>791</v>
      </c>
    </row>
    <row r="124" spans="1:5">
      <c r="B124" s="876"/>
      <c r="C124" s="847"/>
      <c r="D124" s="847"/>
      <c r="E124" s="848"/>
    </row>
  </sheetData>
  <mergeCells count="44">
    <mergeCell ref="C112:G112"/>
    <mergeCell ref="C116:E116"/>
    <mergeCell ref="C117:E117"/>
    <mergeCell ref="B120:E120"/>
    <mergeCell ref="B124:E124"/>
    <mergeCell ref="F81:F82"/>
    <mergeCell ref="B100:B101"/>
    <mergeCell ref="C100:C101"/>
    <mergeCell ref="D100:D101"/>
    <mergeCell ref="E100:E101"/>
    <mergeCell ref="F100:F101"/>
    <mergeCell ref="B81:B82"/>
    <mergeCell ref="C81:C82"/>
    <mergeCell ref="D81:D82"/>
    <mergeCell ref="E81:E82"/>
    <mergeCell ref="A54:B54"/>
    <mergeCell ref="B56:G59"/>
    <mergeCell ref="A61:C61"/>
    <mergeCell ref="B63:G63"/>
    <mergeCell ref="B67:B68"/>
    <mergeCell ref="C67:C68"/>
    <mergeCell ref="D67:D68"/>
    <mergeCell ref="E67:E68"/>
    <mergeCell ref="F67:F68"/>
    <mergeCell ref="C18:D18"/>
    <mergeCell ref="C20:D20"/>
    <mergeCell ref="C29:C31"/>
    <mergeCell ref="D29:D31"/>
    <mergeCell ref="E29:E31"/>
    <mergeCell ref="C11:D11"/>
    <mergeCell ref="C12:D12"/>
    <mergeCell ref="C13:D13"/>
    <mergeCell ref="C14:D14"/>
    <mergeCell ref="C17:D17"/>
    <mergeCell ref="A1:C1"/>
    <mergeCell ref="B2:D2"/>
    <mergeCell ref="C5:D5"/>
    <mergeCell ref="C6:D6"/>
    <mergeCell ref="C10:D10"/>
    <mergeCell ref="C35:F35"/>
    <mergeCell ref="B37:B40"/>
    <mergeCell ref="B42:B44"/>
    <mergeCell ref="A47:B47"/>
    <mergeCell ref="B49:G52"/>
  </mergeCells>
  <dataValidations count="3">
    <dataValidation type="list" allowBlank="1" showInputMessage="1" showErrorMessage="1" sqref="C20:C21 C24">
      <formula1>$H$2:$H$4</formula1>
    </dataValidation>
    <dataValidation type="list" allowBlank="1" showInputMessage="1" showErrorMessage="1" sqref="B29">
      <formula1>$J$2:$J$4</formula1>
    </dataValidation>
    <dataValidation type="list" allowBlank="1" showInputMessage="1" showErrorMessage="1" sqref="C23">
      <formula1>$I$2:$I$3</formula1>
    </dataValidation>
  </dataValidations>
  <hyperlinks>
    <hyperlink ref="C26" location="_ftn1" display="_ftn1"/>
    <hyperlink ref="D26" location="_ftn2" display="_ftn2"/>
    <hyperlink ref="E26" location="_ftn3" display="_ftn3"/>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9937" r:id="rId4" name="Check Box 1">
              <controlPr defaultSize="0" autoFill="0" autoLine="0" autoPict="0">
                <anchor moveWithCells="1">
                  <from>
                    <xdr:col>2</xdr:col>
                    <xdr:colOff>99060</xdr:colOff>
                    <xdr:row>32</xdr:row>
                    <xdr:rowOff>0</xdr:rowOff>
                  </from>
                  <to>
                    <xdr:col>4</xdr:col>
                    <xdr:colOff>502920</xdr:colOff>
                    <xdr:row>33</xdr:row>
                    <xdr:rowOff>7620</xdr:rowOff>
                  </to>
                </anchor>
              </controlPr>
            </control>
          </mc:Choice>
        </mc:AlternateContent>
        <mc:AlternateContent xmlns:mc="http://schemas.openxmlformats.org/markup-compatibility/2006">
          <mc:Choice Requires="x14">
            <control shapeId="39938" r:id="rId5" name="Check Box 2">
              <controlPr defaultSize="0" autoFill="0" autoLine="0" autoPict="0">
                <anchor moveWithCells="1">
                  <from>
                    <xdr:col>2</xdr:col>
                    <xdr:colOff>99060</xdr:colOff>
                    <xdr:row>34</xdr:row>
                    <xdr:rowOff>0</xdr:rowOff>
                  </from>
                  <to>
                    <xdr:col>5</xdr:col>
                    <xdr:colOff>723900</xdr:colOff>
                    <xdr:row>34</xdr:row>
                    <xdr:rowOff>160020</xdr:rowOff>
                  </to>
                </anchor>
              </controlPr>
            </control>
          </mc:Choice>
        </mc:AlternateContent>
        <mc:AlternateContent xmlns:mc="http://schemas.openxmlformats.org/markup-compatibility/2006">
          <mc:Choice Requires="x14">
            <control shapeId="39939" r:id="rId6" name="Check Box 3">
              <controlPr defaultSize="0" autoFill="0" autoLine="0" autoPict="0">
                <anchor moveWithCells="1">
                  <from>
                    <xdr:col>2</xdr:col>
                    <xdr:colOff>99060</xdr:colOff>
                    <xdr:row>32</xdr:row>
                    <xdr:rowOff>182880</xdr:rowOff>
                  </from>
                  <to>
                    <xdr:col>6</xdr:col>
                    <xdr:colOff>541020</xdr:colOff>
                    <xdr:row>33</xdr:row>
                    <xdr:rowOff>182880</xdr:rowOff>
                  </to>
                </anchor>
              </controlPr>
            </control>
          </mc:Choice>
        </mc:AlternateContent>
        <mc:AlternateContent xmlns:mc="http://schemas.openxmlformats.org/markup-compatibility/2006">
          <mc:Choice Requires="x14">
            <control shapeId="39940" r:id="rId7" name="Check Box 4">
              <controlPr defaultSize="0" autoFill="0" autoLine="0" autoPict="0">
                <anchor moveWithCells="1">
                  <from>
                    <xdr:col>2</xdr:col>
                    <xdr:colOff>38100</xdr:colOff>
                    <xdr:row>36</xdr:row>
                    <xdr:rowOff>30480</xdr:rowOff>
                  </from>
                  <to>
                    <xdr:col>18</xdr:col>
                    <xdr:colOff>518160</xdr:colOff>
                    <xdr:row>36</xdr:row>
                    <xdr:rowOff>160020</xdr:rowOff>
                  </to>
                </anchor>
              </controlPr>
            </control>
          </mc:Choice>
        </mc:AlternateContent>
        <mc:AlternateContent xmlns:mc="http://schemas.openxmlformats.org/markup-compatibility/2006">
          <mc:Choice Requires="x14">
            <control shapeId="39941" r:id="rId8" name="Check Box 5">
              <controlPr defaultSize="0" autoFill="0" autoLine="0" autoPict="0">
                <anchor moveWithCells="1">
                  <from>
                    <xdr:col>2</xdr:col>
                    <xdr:colOff>45720</xdr:colOff>
                    <xdr:row>37</xdr:row>
                    <xdr:rowOff>30480</xdr:rowOff>
                  </from>
                  <to>
                    <xdr:col>19</xdr:col>
                    <xdr:colOff>274320</xdr:colOff>
                    <xdr:row>38</xdr:row>
                    <xdr:rowOff>0</xdr:rowOff>
                  </to>
                </anchor>
              </controlPr>
            </control>
          </mc:Choice>
        </mc:AlternateContent>
        <mc:AlternateContent xmlns:mc="http://schemas.openxmlformats.org/markup-compatibility/2006">
          <mc:Choice Requires="x14">
            <control shapeId="39942" r:id="rId9" name="Check Box 6">
              <controlPr defaultSize="0" autoFill="0" autoLine="0" autoPict="0">
                <anchor moveWithCells="1">
                  <from>
                    <xdr:col>2</xdr:col>
                    <xdr:colOff>45720</xdr:colOff>
                    <xdr:row>38</xdr:row>
                    <xdr:rowOff>7620</xdr:rowOff>
                  </from>
                  <to>
                    <xdr:col>17</xdr:col>
                    <xdr:colOff>190500</xdr:colOff>
                    <xdr:row>39</xdr:row>
                    <xdr:rowOff>0</xdr:rowOff>
                  </to>
                </anchor>
              </controlPr>
            </control>
          </mc:Choice>
        </mc:AlternateContent>
        <mc:AlternateContent xmlns:mc="http://schemas.openxmlformats.org/markup-compatibility/2006">
          <mc:Choice Requires="x14">
            <control shapeId="39943" r:id="rId10" name="Check Box 7">
              <controlPr defaultSize="0" autoFill="0" autoLine="0" autoPict="0">
                <anchor moveWithCells="1">
                  <from>
                    <xdr:col>1</xdr:col>
                    <xdr:colOff>0</xdr:colOff>
                    <xdr:row>11</xdr:row>
                    <xdr:rowOff>0</xdr:rowOff>
                  </from>
                  <to>
                    <xdr:col>2</xdr:col>
                    <xdr:colOff>601980</xdr:colOff>
                    <xdr:row>12</xdr:row>
                    <xdr:rowOff>22860</xdr:rowOff>
                  </to>
                </anchor>
              </controlPr>
            </control>
          </mc:Choice>
        </mc:AlternateContent>
        <mc:AlternateContent xmlns:mc="http://schemas.openxmlformats.org/markup-compatibility/2006">
          <mc:Choice Requires="x14">
            <control shapeId="39944" r:id="rId11" name="Check Box 8">
              <controlPr defaultSize="0" autoFill="0" autoLine="0" autoPict="0">
                <anchor moveWithCells="1">
                  <from>
                    <xdr:col>2</xdr:col>
                    <xdr:colOff>99060</xdr:colOff>
                    <xdr:row>32</xdr:row>
                    <xdr:rowOff>0</xdr:rowOff>
                  </from>
                  <to>
                    <xdr:col>4</xdr:col>
                    <xdr:colOff>502920</xdr:colOff>
                    <xdr:row>33</xdr:row>
                    <xdr:rowOff>7620</xdr:rowOff>
                  </to>
                </anchor>
              </controlPr>
            </control>
          </mc:Choice>
        </mc:AlternateContent>
        <mc:AlternateContent xmlns:mc="http://schemas.openxmlformats.org/markup-compatibility/2006">
          <mc:Choice Requires="x14">
            <control shapeId="39945" r:id="rId12" name="Check Box 9">
              <controlPr defaultSize="0" autoFill="0" autoLine="0" autoPict="0">
                <anchor moveWithCells="1">
                  <from>
                    <xdr:col>2</xdr:col>
                    <xdr:colOff>99060</xdr:colOff>
                    <xdr:row>34</xdr:row>
                    <xdr:rowOff>0</xdr:rowOff>
                  </from>
                  <to>
                    <xdr:col>5</xdr:col>
                    <xdr:colOff>723900</xdr:colOff>
                    <xdr:row>34</xdr:row>
                    <xdr:rowOff>160020</xdr:rowOff>
                  </to>
                </anchor>
              </controlPr>
            </control>
          </mc:Choice>
        </mc:AlternateContent>
        <mc:AlternateContent xmlns:mc="http://schemas.openxmlformats.org/markup-compatibility/2006">
          <mc:Choice Requires="x14">
            <control shapeId="39946" r:id="rId13" name="Check Box 10">
              <controlPr defaultSize="0" autoFill="0" autoLine="0" autoPict="0">
                <anchor moveWithCells="1">
                  <from>
                    <xdr:col>2</xdr:col>
                    <xdr:colOff>99060</xdr:colOff>
                    <xdr:row>32</xdr:row>
                    <xdr:rowOff>182880</xdr:rowOff>
                  </from>
                  <to>
                    <xdr:col>6</xdr:col>
                    <xdr:colOff>541020</xdr:colOff>
                    <xdr:row>33</xdr:row>
                    <xdr:rowOff>182880</xdr:rowOff>
                  </to>
                </anchor>
              </controlPr>
            </control>
          </mc:Choice>
        </mc:AlternateContent>
        <mc:AlternateContent xmlns:mc="http://schemas.openxmlformats.org/markup-compatibility/2006">
          <mc:Choice Requires="x14">
            <control shapeId="39947" r:id="rId14" name="Check Box 11">
              <controlPr defaultSize="0" autoFill="0" autoLine="0" autoPict="0">
                <anchor moveWithCells="1">
                  <from>
                    <xdr:col>2</xdr:col>
                    <xdr:colOff>45720</xdr:colOff>
                    <xdr:row>38</xdr:row>
                    <xdr:rowOff>7620</xdr:rowOff>
                  </from>
                  <to>
                    <xdr:col>17</xdr:col>
                    <xdr:colOff>190500</xdr:colOff>
                    <xdr:row>39</xdr:row>
                    <xdr:rowOff>0</xdr:rowOff>
                  </to>
                </anchor>
              </controlPr>
            </control>
          </mc:Choice>
        </mc:AlternateContent>
        <mc:AlternateContent xmlns:mc="http://schemas.openxmlformats.org/markup-compatibility/2006">
          <mc:Choice Requires="x14">
            <control shapeId="39948" r:id="rId15" name="Check Box 12">
              <controlPr defaultSize="0" autoFill="0" autoLine="0" autoPict="0">
                <anchor moveWithCells="1">
                  <from>
                    <xdr:col>1</xdr:col>
                    <xdr:colOff>0</xdr:colOff>
                    <xdr:row>11</xdr:row>
                    <xdr:rowOff>0</xdr:rowOff>
                  </from>
                  <to>
                    <xdr:col>2</xdr:col>
                    <xdr:colOff>601980</xdr:colOff>
                    <xdr:row>12</xdr:row>
                    <xdr:rowOff>22860</xdr:rowOff>
                  </to>
                </anchor>
              </controlPr>
            </control>
          </mc:Choice>
        </mc:AlternateContent>
        <mc:AlternateContent xmlns:mc="http://schemas.openxmlformats.org/markup-compatibility/2006">
          <mc:Choice Requires="x14">
            <control shapeId="39949" r:id="rId16" name="Check Box 13">
              <controlPr defaultSize="0" autoFill="0" autoLine="0" autoPict="0">
                <anchor moveWithCells="1">
                  <from>
                    <xdr:col>2</xdr:col>
                    <xdr:colOff>99060</xdr:colOff>
                    <xdr:row>32</xdr:row>
                    <xdr:rowOff>0</xdr:rowOff>
                  </from>
                  <to>
                    <xdr:col>4</xdr:col>
                    <xdr:colOff>502920</xdr:colOff>
                    <xdr:row>33</xdr:row>
                    <xdr:rowOff>7620</xdr:rowOff>
                  </to>
                </anchor>
              </controlPr>
            </control>
          </mc:Choice>
        </mc:AlternateContent>
        <mc:AlternateContent xmlns:mc="http://schemas.openxmlformats.org/markup-compatibility/2006">
          <mc:Choice Requires="x14">
            <control shapeId="39950" r:id="rId17" name="Check Box 14">
              <controlPr defaultSize="0" autoFill="0" autoLine="0" autoPict="0">
                <anchor moveWithCells="1">
                  <from>
                    <xdr:col>2</xdr:col>
                    <xdr:colOff>99060</xdr:colOff>
                    <xdr:row>34</xdr:row>
                    <xdr:rowOff>0</xdr:rowOff>
                  </from>
                  <to>
                    <xdr:col>5</xdr:col>
                    <xdr:colOff>723900</xdr:colOff>
                    <xdr:row>34</xdr:row>
                    <xdr:rowOff>160020</xdr:rowOff>
                  </to>
                </anchor>
              </controlPr>
            </control>
          </mc:Choice>
        </mc:AlternateContent>
        <mc:AlternateContent xmlns:mc="http://schemas.openxmlformats.org/markup-compatibility/2006">
          <mc:Choice Requires="x14">
            <control shapeId="39951" r:id="rId18" name="Check Box 15">
              <controlPr defaultSize="0" autoFill="0" autoLine="0" autoPict="0">
                <anchor moveWithCells="1">
                  <from>
                    <xdr:col>2</xdr:col>
                    <xdr:colOff>99060</xdr:colOff>
                    <xdr:row>32</xdr:row>
                    <xdr:rowOff>182880</xdr:rowOff>
                  </from>
                  <to>
                    <xdr:col>6</xdr:col>
                    <xdr:colOff>541020</xdr:colOff>
                    <xdr:row>33</xdr:row>
                    <xdr:rowOff>182880</xdr:rowOff>
                  </to>
                </anchor>
              </controlPr>
            </control>
          </mc:Choice>
        </mc:AlternateContent>
        <mc:AlternateContent xmlns:mc="http://schemas.openxmlformats.org/markup-compatibility/2006">
          <mc:Choice Requires="x14">
            <control shapeId="39952" r:id="rId19" name="Check Box 16">
              <controlPr defaultSize="0" autoFill="0" autoLine="0" autoPict="0">
                <anchor moveWithCells="1">
                  <from>
                    <xdr:col>2</xdr:col>
                    <xdr:colOff>38100</xdr:colOff>
                    <xdr:row>36</xdr:row>
                    <xdr:rowOff>30480</xdr:rowOff>
                  </from>
                  <to>
                    <xdr:col>18</xdr:col>
                    <xdr:colOff>518160</xdr:colOff>
                    <xdr:row>36</xdr:row>
                    <xdr:rowOff>160020</xdr:rowOff>
                  </to>
                </anchor>
              </controlPr>
            </control>
          </mc:Choice>
        </mc:AlternateContent>
        <mc:AlternateContent xmlns:mc="http://schemas.openxmlformats.org/markup-compatibility/2006">
          <mc:Choice Requires="x14">
            <control shapeId="39953" r:id="rId20" name="Check Box 17">
              <controlPr defaultSize="0" autoFill="0" autoLine="0" autoPict="0">
                <anchor moveWithCells="1">
                  <from>
                    <xdr:col>2</xdr:col>
                    <xdr:colOff>45720</xdr:colOff>
                    <xdr:row>37</xdr:row>
                    <xdr:rowOff>30480</xdr:rowOff>
                  </from>
                  <to>
                    <xdr:col>19</xdr:col>
                    <xdr:colOff>274320</xdr:colOff>
                    <xdr:row>38</xdr:row>
                    <xdr:rowOff>0</xdr:rowOff>
                  </to>
                </anchor>
              </controlPr>
            </control>
          </mc:Choice>
        </mc:AlternateContent>
        <mc:AlternateContent xmlns:mc="http://schemas.openxmlformats.org/markup-compatibility/2006">
          <mc:Choice Requires="x14">
            <control shapeId="39954" r:id="rId21" name="Check Box 18">
              <controlPr defaultSize="0" autoFill="0" autoLine="0" autoPict="0">
                <anchor moveWithCells="1">
                  <from>
                    <xdr:col>2</xdr:col>
                    <xdr:colOff>45720</xdr:colOff>
                    <xdr:row>38</xdr:row>
                    <xdr:rowOff>7620</xdr:rowOff>
                  </from>
                  <to>
                    <xdr:col>17</xdr:col>
                    <xdr:colOff>190500</xdr:colOff>
                    <xdr:row>39</xdr:row>
                    <xdr:rowOff>0</xdr:rowOff>
                  </to>
                </anchor>
              </controlPr>
            </control>
          </mc:Choice>
        </mc:AlternateContent>
        <mc:AlternateContent xmlns:mc="http://schemas.openxmlformats.org/markup-compatibility/2006">
          <mc:Choice Requires="x14">
            <control shapeId="39955" r:id="rId22" name="Check Box 19">
              <controlPr defaultSize="0" autoFill="0" autoLine="0" autoPict="0">
                <anchor moveWithCells="1">
                  <from>
                    <xdr:col>1</xdr:col>
                    <xdr:colOff>0</xdr:colOff>
                    <xdr:row>11</xdr:row>
                    <xdr:rowOff>0</xdr:rowOff>
                  </from>
                  <to>
                    <xdr:col>2</xdr:col>
                    <xdr:colOff>601980</xdr:colOff>
                    <xdr:row>12</xdr:row>
                    <xdr:rowOff>22860</xdr:rowOff>
                  </to>
                </anchor>
              </controlPr>
            </control>
          </mc:Choice>
        </mc:AlternateContent>
        <mc:AlternateContent xmlns:mc="http://schemas.openxmlformats.org/markup-compatibility/2006">
          <mc:Choice Requires="x14">
            <control shapeId="39956" r:id="rId23" name="Check Box 20">
              <controlPr defaultSize="0" autoFill="0" autoLine="0" autoPict="0">
                <anchor moveWithCells="1">
                  <from>
                    <xdr:col>2</xdr:col>
                    <xdr:colOff>99060</xdr:colOff>
                    <xdr:row>32</xdr:row>
                    <xdr:rowOff>0</xdr:rowOff>
                  </from>
                  <to>
                    <xdr:col>4</xdr:col>
                    <xdr:colOff>502920</xdr:colOff>
                    <xdr:row>33</xdr:row>
                    <xdr:rowOff>7620</xdr:rowOff>
                  </to>
                </anchor>
              </controlPr>
            </control>
          </mc:Choice>
        </mc:AlternateContent>
        <mc:AlternateContent xmlns:mc="http://schemas.openxmlformats.org/markup-compatibility/2006">
          <mc:Choice Requires="x14">
            <control shapeId="39957" r:id="rId24" name="Check Box 21">
              <controlPr defaultSize="0" autoFill="0" autoLine="0" autoPict="0">
                <anchor moveWithCells="1">
                  <from>
                    <xdr:col>2</xdr:col>
                    <xdr:colOff>99060</xdr:colOff>
                    <xdr:row>34</xdr:row>
                    <xdr:rowOff>0</xdr:rowOff>
                  </from>
                  <to>
                    <xdr:col>5</xdr:col>
                    <xdr:colOff>723900</xdr:colOff>
                    <xdr:row>34</xdr:row>
                    <xdr:rowOff>160020</xdr:rowOff>
                  </to>
                </anchor>
              </controlPr>
            </control>
          </mc:Choice>
        </mc:AlternateContent>
        <mc:AlternateContent xmlns:mc="http://schemas.openxmlformats.org/markup-compatibility/2006">
          <mc:Choice Requires="x14">
            <control shapeId="39958" r:id="rId25" name="Check Box 22">
              <controlPr defaultSize="0" autoFill="0" autoLine="0" autoPict="0">
                <anchor moveWithCells="1">
                  <from>
                    <xdr:col>2</xdr:col>
                    <xdr:colOff>99060</xdr:colOff>
                    <xdr:row>32</xdr:row>
                    <xdr:rowOff>182880</xdr:rowOff>
                  </from>
                  <to>
                    <xdr:col>6</xdr:col>
                    <xdr:colOff>541020</xdr:colOff>
                    <xdr:row>33</xdr:row>
                    <xdr:rowOff>182880</xdr:rowOff>
                  </to>
                </anchor>
              </controlPr>
            </control>
          </mc:Choice>
        </mc:AlternateContent>
        <mc:AlternateContent xmlns:mc="http://schemas.openxmlformats.org/markup-compatibility/2006">
          <mc:Choice Requires="x14">
            <control shapeId="39959" r:id="rId26" name="Check Box 23">
              <controlPr defaultSize="0" autoFill="0" autoLine="0" autoPict="0">
                <anchor moveWithCells="1">
                  <from>
                    <xdr:col>2</xdr:col>
                    <xdr:colOff>45720</xdr:colOff>
                    <xdr:row>38</xdr:row>
                    <xdr:rowOff>7620</xdr:rowOff>
                  </from>
                  <to>
                    <xdr:col>17</xdr:col>
                    <xdr:colOff>190500</xdr:colOff>
                    <xdr:row>39</xdr:row>
                    <xdr:rowOff>0</xdr:rowOff>
                  </to>
                </anchor>
              </controlPr>
            </control>
          </mc:Choice>
        </mc:AlternateContent>
        <mc:AlternateContent xmlns:mc="http://schemas.openxmlformats.org/markup-compatibility/2006">
          <mc:Choice Requires="x14">
            <control shapeId="39960" r:id="rId27" name="Check Box 24">
              <controlPr defaultSize="0" autoFill="0" autoLine="0" autoPict="0">
                <anchor moveWithCells="1">
                  <from>
                    <xdr:col>1</xdr:col>
                    <xdr:colOff>0</xdr:colOff>
                    <xdr:row>11</xdr:row>
                    <xdr:rowOff>0</xdr:rowOff>
                  </from>
                  <to>
                    <xdr:col>2</xdr:col>
                    <xdr:colOff>601980</xdr:colOff>
                    <xdr:row>12</xdr:row>
                    <xdr:rowOff>22860</xdr:rowOff>
                  </to>
                </anchor>
              </controlPr>
            </control>
          </mc:Choice>
        </mc:AlternateContent>
        <mc:AlternateContent xmlns:mc="http://schemas.openxmlformats.org/markup-compatibility/2006">
          <mc:Choice Requires="x14">
            <control shapeId="39961" r:id="rId28" name="Check Box 25">
              <controlPr defaultSize="0" autoFill="0" autoLine="0" autoPict="0">
                <anchor moveWithCells="1">
                  <from>
                    <xdr:col>2</xdr:col>
                    <xdr:colOff>99060</xdr:colOff>
                    <xdr:row>37</xdr:row>
                    <xdr:rowOff>0</xdr:rowOff>
                  </from>
                  <to>
                    <xdr:col>4</xdr:col>
                    <xdr:colOff>571500</xdr:colOff>
                    <xdr:row>38</xdr:row>
                    <xdr:rowOff>7620</xdr:rowOff>
                  </to>
                </anchor>
              </controlPr>
            </control>
          </mc:Choice>
        </mc:AlternateContent>
        <mc:AlternateContent xmlns:mc="http://schemas.openxmlformats.org/markup-compatibility/2006">
          <mc:Choice Requires="x14">
            <control shapeId="39962" r:id="rId29" name="Check Box 26">
              <controlPr defaultSize="0" autoFill="0" autoLine="0" autoPict="0">
                <anchor moveWithCells="1">
                  <from>
                    <xdr:col>2</xdr:col>
                    <xdr:colOff>99060</xdr:colOff>
                    <xdr:row>39</xdr:row>
                    <xdr:rowOff>0</xdr:rowOff>
                  </from>
                  <to>
                    <xdr:col>5</xdr:col>
                    <xdr:colOff>723900</xdr:colOff>
                    <xdr:row>39</xdr:row>
                    <xdr:rowOff>160020</xdr:rowOff>
                  </to>
                </anchor>
              </controlPr>
            </control>
          </mc:Choice>
        </mc:AlternateContent>
        <mc:AlternateContent xmlns:mc="http://schemas.openxmlformats.org/markup-compatibility/2006">
          <mc:Choice Requires="x14">
            <control shapeId="39963" r:id="rId30" name="Check Box 27">
              <controlPr defaultSize="0" autoFill="0" autoLine="0" autoPict="0">
                <anchor moveWithCells="1">
                  <from>
                    <xdr:col>2</xdr:col>
                    <xdr:colOff>99060</xdr:colOff>
                    <xdr:row>37</xdr:row>
                    <xdr:rowOff>182880</xdr:rowOff>
                  </from>
                  <to>
                    <xdr:col>6</xdr:col>
                    <xdr:colOff>525780</xdr:colOff>
                    <xdr:row>38</xdr:row>
                    <xdr:rowOff>182880</xdr:rowOff>
                  </to>
                </anchor>
              </controlPr>
            </control>
          </mc:Choice>
        </mc:AlternateContent>
        <mc:AlternateContent xmlns:mc="http://schemas.openxmlformats.org/markup-compatibility/2006">
          <mc:Choice Requires="x14">
            <control shapeId="39964" r:id="rId31" name="Check Box 28">
              <controlPr defaultSize="0" autoFill="0" autoLine="0" autoPict="0">
                <anchor moveWithCells="1">
                  <from>
                    <xdr:col>2</xdr:col>
                    <xdr:colOff>38100</xdr:colOff>
                    <xdr:row>41</xdr:row>
                    <xdr:rowOff>30480</xdr:rowOff>
                  </from>
                  <to>
                    <xdr:col>18</xdr:col>
                    <xdr:colOff>487680</xdr:colOff>
                    <xdr:row>41</xdr:row>
                    <xdr:rowOff>160020</xdr:rowOff>
                  </to>
                </anchor>
              </controlPr>
            </control>
          </mc:Choice>
        </mc:AlternateContent>
        <mc:AlternateContent xmlns:mc="http://schemas.openxmlformats.org/markup-compatibility/2006">
          <mc:Choice Requires="x14">
            <control shapeId="39965" r:id="rId32" name="Check Box 29">
              <controlPr defaultSize="0" autoFill="0" autoLine="0" autoPict="0">
                <anchor moveWithCells="1">
                  <from>
                    <xdr:col>2</xdr:col>
                    <xdr:colOff>45720</xdr:colOff>
                    <xdr:row>42</xdr:row>
                    <xdr:rowOff>30480</xdr:rowOff>
                  </from>
                  <to>
                    <xdr:col>19</xdr:col>
                    <xdr:colOff>251460</xdr:colOff>
                    <xdr:row>42</xdr:row>
                    <xdr:rowOff>175260</xdr:rowOff>
                  </to>
                </anchor>
              </controlPr>
            </control>
          </mc:Choice>
        </mc:AlternateContent>
        <mc:AlternateContent xmlns:mc="http://schemas.openxmlformats.org/markup-compatibility/2006">
          <mc:Choice Requires="x14">
            <control shapeId="39966" r:id="rId33" name="Check Box 30">
              <controlPr defaultSize="0" autoFill="0" autoLine="0" autoPict="0">
                <anchor moveWithCells="1">
                  <from>
                    <xdr:col>2</xdr:col>
                    <xdr:colOff>45720</xdr:colOff>
                    <xdr:row>43</xdr:row>
                    <xdr:rowOff>7620</xdr:rowOff>
                  </from>
                  <to>
                    <xdr:col>17</xdr:col>
                    <xdr:colOff>182880</xdr:colOff>
                    <xdr:row>43</xdr:row>
                    <xdr:rowOff>182880</xdr:rowOff>
                  </to>
                </anchor>
              </controlPr>
            </control>
          </mc:Choice>
        </mc:AlternateContent>
        <mc:AlternateContent xmlns:mc="http://schemas.openxmlformats.org/markup-compatibility/2006">
          <mc:Choice Requires="x14">
            <control shapeId="39967" r:id="rId34" name="Check Box 31">
              <controlPr defaultSize="0" autoFill="0" autoLine="0" autoPict="0">
                <anchor moveWithCells="1">
                  <from>
                    <xdr:col>1</xdr:col>
                    <xdr:colOff>0</xdr:colOff>
                    <xdr:row>11</xdr:row>
                    <xdr:rowOff>0</xdr:rowOff>
                  </from>
                  <to>
                    <xdr:col>2</xdr:col>
                    <xdr:colOff>670560</xdr:colOff>
                    <xdr:row>12</xdr:row>
                    <xdr:rowOff>22860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7"/>
  <sheetViews>
    <sheetView workbookViewId="0">
      <selection sqref="A1:XFD1048576"/>
    </sheetView>
  </sheetViews>
  <sheetFormatPr defaultColWidth="9.109375" defaultRowHeight="15"/>
  <cols>
    <col min="1" max="1" width="4.6640625" style="659" customWidth="1"/>
    <col min="2" max="2" width="48.6640625" style="634" customWidth="1"/>
    <col min="3" max="3" width="11.44140625" style="659" customWidth="1"/>
    <col min="4" max="4" width="13.33203125" style="634" customWidth="1"/>
    <col min="5" max="5" width="10" style="634" customWidth="1"/>
    <col min="6" max="6" width="11.5546875" style="634" customWidth="1"/>
    <col min="7" max="7" width="10.88671875" style="634" customWidth="1"/>
    <col min="8" max="8" width="11.44140625" style="634" customWidth="1"/>
    <col min="9" max="9" width="10.88671875" style="634" customWidth="1"/>
    <col min="10" max="10" width="11.109375" style="634" customWidth="1"/>
    <col min="11" max="11" width="9.5546875" style="634" customWidth="1"/>
    <col min="12" max="12" width="12.88671875" style="634" customWidth="1"/>
    <col min="13" max="13" width="42" style="634" customWidth="1"/>
    <col min="14" max="16384" width="9.109375" style="634"/>
  </cols>
  <sheetData>
    <row r="1" spans="1:13" ht="29.25" customHeight="1">
      <c r="A1" s="633" t="s">
        <v>870</v>
      </c>
      <c r="B1" s="633"/>
      <c r="C1" s="633"/>
      <c r="D1" s="633"/>
      <c r="E1" s="633"/>
      <c r="F1" s="633"/>
      <c r="G1" s="633"/>
      <c r="H1" s="633"/>
      <c r="I1" s="633"/>
      <c r="J1" s="633"/>
      <c r="K1" s="633"/>
      <c r="L1" s="633"/>
      <c r="M1" s="633"/>
    </row>
    <row r="2" spans="1:13" s="636" customFormat="1" ht="16.5" customHeight="1">
      <c r="A2" s="635" t="s">
        <v>936</v>
      </c>
      <c r="B2" s="635"/>
      <c r="C2" s="635"/>
      <c r="D2" s="635"/>
      <c r="E2" s="635"/>
      <c r="F2" s="635"/>
      <c r="G2" s="635"/>
      <c r="H2" s="635"/>
      <c r="I2" s="635"/>
      <c r="J2" s="635"/>
      <c r="K2" s="635"/>
      <c r="L2" s="635"/>
      <c r="M2" s="635"/>
    </row>
    <row r="3" spans="1:13" ht="32.25" customHeight="1">
      <c r="A3" s="637"/>
      <c r="B3" s="638"/>
      <c r="C3" s="637"/>
      <c r="D3" s="638"/>
      <c r="E3" s="637" t="s">
        <v>872</v>
      </c>
      <c r="F3" s="637"/>
      <c r="G3" s="637"/>
      <c r="H3" s="637"/>
      <c r="I3" s="637"/>
      <c r="J3" s="637"/>
      <c r="K3" s="637"/>
      <c r="L3" s="637"/>
      <c r="M3" s="638"/>
    </row>
    <row r="4" spans="1:13" ht="32.25" customHeight="1">
      <c r="A4" s="639"/>
      <c r="B4" s="640"/>
      <c r="C4" s="639"/>
      <c r="D4" s="638"/>
      <c r="E4" s="637" t="s">
        <v>873</v>
      </c>
      <c r="F4" s="637"/>
      <c r="G4" s="637" t="s">
        <v>874</v>
      </c>
      <c r="H4" s="637"/>
      <c r="I4" s="637" t="s">
        <v>800</v>
      </c>
      <c r="J4" s="637"/>
      <c r="K4" s="637" t="s">
        <v>937</v>
      </c>
      <c r="L4" s="637"/>
      <c r="M4" s="641"/>
    </row>
    <row r="5" spans="1:13" ht="69" customHeight="1">
      <c r="A5" s="642" t="s">
        <v>876</v>
      </c>
      <c r="B5" s="643" t="s">
        <v>877</v>
      </c>
      <c r="C5" s="642" t="s">
        <v>143</v>
      </c>
      <c r="D5" s="642" t="s">
        <v>878</v>
      </c>
      <c r="E5" s="642" t="s">
        <v>879</v>
      </c>
      <c r="F5" s="642" t="s">
        <v>880</v>
      </c>
      <c r="G5" s="642" t="s">
        <v>879</v>
      </c>
      <c r="H5" s="642" t="s">
        <v>880</v>
      </c>
      <c r="I5" s="642" t="s">
        <v>879</v>
      </c>
      <c r="J5" s="642" t="s">
        <v>880</v>
      </c>
      <c r="K5" s="642" t="s">
        <v>879</v>
      </c>
      <c r="L5" s="642" t="s">
        <v>880</v>
      </c>
      <c r="M5" s="642" t="s">
        <v>881</v>
      </c>
    </row>
    <row r="6" spans="1:13" ht="49.35" customHeight="1">
      <c r="A6" s="637">
        <v>1</v>
      </c>
      <c r="B6" s="644" t="s">
        <v>938</v>
      </c>
      <c r="C6" s="637" t="s">
        <v>772</v>
      </c>
      <c r="D6" s="645">
        <v>3800</v>
      </c>
      <c r="E6" s="646">
        <v>20</v>
      </c>
      <c r="F6" s="645">
        <v>76000</v>
      </c>
      <c r="G6" s="646">
        <v>17</v>
      </c>
      <c r="H6" s="645">
        <v>64600</v>
      </c>
      <c r="I6" s="646">
        <v>22</v>
      </c>
      <c r="J6" s="645">
        <f t="shared" ref="J6:J11" si="0">D6*I6</f>
        <v>83600</v>
      </c>
      <c r="K6" s="646">
        <v>59</v>
      </c>
      <c r="L6" s="645">
        <v>224200</v>
      </c>
      <c r="M6" s="647" t="s">
        <v>939</v>
      </c>
    </row>
    <row r="7" spans="1:13" ht="49.35" customHeight="1">
      <c r="A7" s="637">
        <v>2</v>
      </c>
      <c r="B7" s="648" t="s">
        <v>940</v>
      </c>
      <c r="C7" s="637" t="s">
        <v>882</v>
      </c>
      <c r="D7" s="645">
        <v>2500</v>
      </c>
      <c r="E7" s="646">
        <v>20</v>
      </c>
      <c r="F7" s="645">
        <v>50000</v>
      </c>
      <c r="G7" s="646">
        <v>20</v>
      </c>
      <c r="H7" s="645">
        <v>50000</v>
      </c>
      <c r="I7" s="646">
        <v>20</v>
      </c>
      <c r="J7" s="645">
        <f t="shared" si="0"/>
        <v>50000</v>
      </c>
      <c r="K7" s="646">
        <v>60</v>
      </c>
      <c r="L7" s="645">
        <v>150000</v>
      </c>
      <c r="M7" s="647" t="s">
        <v>939</v>
      </c>
    </row>
    <row r="8" spans="1:13" ht="49.35" customHeight="1">
      <c r="A8" s="637">
        <v>3</v>
      </c>
      <c r="B8" s="648" t="s">
        <v>922</v>
      </c>
      <c r="C8" s="637" t="s">
        <v>772</v>
      </c>
      <c r="D8" s="645">
        <v>300</v>
      </c>
      <c r="E8" s="646">
        <v>20</v>
      </c>
      <c r="F8" s="645">
        <v>6000</v>
      </c>
      <c r="G8" s="646">
        <v>20</v>
      </c>
      <c r="H8" s="645">
        <v>6000</v>
      </c>
      <c r="I8" s="646">
        <v>20</v>
      </c>
      <c r="J8" s="645">
        <f t="shared" si="0"/>
        <v>6000</v>
      </c>
      <c r="K8" s="646">
        <v>60</v>
      </c>
      <c r="L8" s="645">
        <v>18000</v>
      </c>
      <c r="M8" s="649"/>
    </row>
    <row r="9" spans="1:13" ht="49.35" customHeight="1">
      <c r="A9" s="637">
        <v>4</v>
      </c>
      <c r="B9" s="648" t="s">
        <v>923</v>
      </c>
      <c r="C9" s="637" t="s">
        <v>772</v>
      </c>
      <c r="D9" s="645">
        <v>12500</v>
      </c>
      <c r="E9" s="646">
        <v>15</v>
      </c>
      <c r="F9" s="645">
        <v>187500</v>
      </c>
      <c r="G9" s="646">
        <v>15</v>
      </c>
      <c r="H9" s="645">
        <v>187500</v>
      </c>
      <c r="I9" s="646">
        <v>10</v>
      </c>
      <c r="J9" s="645">
        <f t="shared" si="0"/>
        <v>125000</v>
      </c>
      <c r="K9" s="646">
        <v>40</v>
      </c>
      <c r="L9" s="645">
        <v>500000</v>
      </c>
      <c r="M9" s="647"/>
    </row>
    <row r="10" spans="1:13" ht="49.35" customHeight="1">
      <c r="A10" s="637">
        <v>5</v>
      </c>
      <c r="B10" s="650" t="s">
        <v>941</v>
      </c>
      <c r="C10" s="637" t="s">
        <v>772</v>
      </c>
      <c r="D10" s="645">
        <v>20000</v>
      </c>
      <c r="E10" s="646"/>
      <c r="F10" s="645"/>
      <c r="G10" s="646"/>
      <c r="H10" s="645"/>
      <c r="I10" s="646">
        <v>1</v>
      </c>
      <c r="J10" s="645">
        <f t="shared" si="0"/>
        <v>20000</v>
      </c>
      <c r="K10" s="646">
        <v>1</v>
      </c>
      <c r="L10" s="645">
        <v>20000</v>
      </c>
      <c r="M10" s="647"/>
    </row>
    <row r="11" spans="1:13" ht="49.35" customHeight="1">
      <c r="A11" s="637">
        <v>6</v>
      </c>
      <c r="B11" s="651" t="s">
        <v>925</v>
      </c>
      <c r="C11" s="637" t="s">
        <v>772</v>
      </c>
      <c r="D11" s="645">
        <v>12000</v>
      </c>
      <c r="E11" s="646">
        <v>20</v>
      </c>
      <c r="F11" s="645">
        <v>240000</v>
      </c>
      <c r="G11" s="646">
        <v>17</v>
      </c>
      <c r="H11" s="645">
        <v>204000</v>
      </c>
      <c r="I11" s="646">
        <v>22</v>
      </c>
      <c r="J11" s="645">
        <f t="shared" si="0"/>
        <v>264000</v>
      </c>
      <c r="K11" s="646">
        <v>59</v>
      </c>
      <c r="L11" s="645">
        <v>708000</v>
      </c>
      <c r="M11" s="649"/>
    </row>
    <row r="12" spans="1:13" ht="49.35" customHeight="1">
      <c r="A12" s="637">
        <v>7</v>
      </c>
      <c r="B12" s="650" t="s">
        <v>942</v>
      </c>
      <c r="C12" s="637" t="s">
        <v>772</v>
      </c>
      <c r="D12" s="645">
        <v>1000</v>
      </c>
      <c r="E12" s="646">
        <v>59</v>
      </c>
      <c r="F12" s="645">
        <v>59000</v>
      </c>
      <c r="G12" s="646"/>
      <c r="H12" s="645"/>
      <c r="I12" s="646"/>
      <c r="J12" s="645"/>
      <c r="K12" s="646">
        <v>59</v>
      </c>
      <c r="L12" s="645">
        <v>59000</v>
      </c>
      <c r="M12" s="649"/>
    </row>
    <row r="13" spans="1:13" ht="49.35" customHeight="1">
      <c r="A13" s="637">
        <v>8</v>
      </c>
      <c r="B13" s="650" t="s">
        <v>943</v>
      </c>
      <c r="C13" s="637" t="s">
        <v>772</v>
      </c>
      <c r="D13" s="645">
        <v>500</v>
      </c>
      <c r="E13" s="646">
        <v>59</v>
      </c>
      <c r="F13" s="645">
        <v>29500</v>
      </c>
      <c r="G13" s="646"/>
      <c r="H13" s="645"/>
      <c r="I13" s="646"/>
      <c r="J13" s="645"/>
      <c r="K13" s="646">
        <v>59</v>
      </c>
      <c r="L13" s="645">
        <v>29500</v>
      </c>
      <c r="M13" s="647"/>
    </row>
    <row r="14" spans="1:13" ht="49.35" customHeight="1">
      <c r="A14" s="637">
        <v>9</v>
      </c>
      <c r="B14" s="650" t="s">
        <v>944</v>
      </c>
      <c r="C14" s="637" t="s">
        <v>772</v>
      </c>
      <c r="D14" s="645">
        <v>5000</v>
      </c>
      <c r="E14" s="646">
        <v>1</v>
      </c>
      <c r="F14" s="645">
        <v>5000</v>
      </c>
      <c r="G14" s="646">
        <v>2</v>
      </c>
      <c r="H14" s="645">
        <v>10000</v>
      </c>
      <c r="I14" s="646">
        <v>2</v>
      </c>
      <c r="J14" s="645">
        <f>D14*I14</f>
        <v>10000</v>
      </c>
      <c r="K14" s="646">
        <v>5</v>
      </c>
      <c r="L14" s="645">
        <v>25000</v>
      </c>
      <c r="M14" s="647"/>
    </row>
    <row r="15" spans="1:13" ht="49.35" customHeight="1">
      <c r="A15" s="637">
        <v>10</v>
      </c>
      <c r="B15" s="652" t="s">
        <v>929</v>
      </c>
      <c r="C15" s="637" t="s">
        <v>772</v>
      </c>
      <c r="D15" s="645">
        <v>300000</v>
      </c>
      <c r="E15" s="637"/>
      <c r="F15" s="637"/>
      <c r="G15" s="637"/>
      <c r="H15" s="637"/>
      <c r="I15" s="653">
        <v>1</v>
      </c>
      <c r="J15" s="654">
        <f>D15*I15</f>
        <v>300000</v>
      </c>
      <c r="K15" s="646">
        <v>1</v>
      </c>
      <c r="L15" s="645">
        <v>300000</v>
      </c>
      <c r="M15" s="647" t="s">
        <v>945</v>
      </c>
    </row>
    <row r="16" spans="1:13" ht="21.75" customHeight="1">
      <c r="A16" s="655" t="s">
        <v>891</v>
      </c>
      <c r="B16" s="656"/>
      <c r="C16" s="656"/>
      <c r="D16" s="657"/>
      <c r="E16" s="657"/>
      <c r="F16" s="658">
        <v>653000</v>
      </c>
      <c r="G16" s="658"/>
      <c r="H16" s="658">
        <f>SUM(H6:H15)</f>
        <v>522100</v>
      </c>
      <c r="I16" s="658"/>
      <c r="J16" s="658">
        <f>J6+J7+J8+J9+J10+J11+J12+J13+J14+J15</f>
        <v>858600</v>
      </c>
      <c r="K16" s="658"/>
      <c r="L16" s="658">
        <v>2033700</v>
      </c>
      <c r="M16" s="647"/>
    </row>
    <row r="17" spans="2:2" ht="28.2">
      <c r="B17" s="634" t="s">
        <v>946</v>
      </c>
    </row>
  </sheetData>
  <dataValidations count="3">
    <dataValidation type="list" allowBlank="1" showInputMessage="1" showErrorMessage="1" sqref="C23">
      <formula1>$I$2:$I$3</formula1>
    </dataValidation>
    <dataValidation type="list" allowBlank="1" showInputMessage="1" showErrorMessage="1" sqref="B29">
      <formula1>$J$2:$J$4</formula1>
    </dataValidation>
    <dataValidation type="list" allowBlank="1" showInputMessage="1" showErrorMessage="1" sqref="C20:C21 C24">
      <formula1>$H$2:$H$4</formula1>
    </dataValidation>
  </dataValidations>
  <hyperlinks>
    <hyperlink ref="C26" location="_ftn1" display="_ftn1"/>
    <hyperlink ref="D26" location="_ftn2" display="_ftn2"/>
    <hyperlink ref="E26" location="_ftn3" display="_ftn3"/>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7697" r:id="rId4" name="Check Box 1">
              <controlPr defaultSize="0" autoFill="0" autoLine="0" autoPict="0">
                <anchor moveWithCells="1">
                  <from>
                    <xdr:col>2</xdr:col>
                    <xdr:colOff>99060</xdr:colOff>
                    <xdr:row>32</xdr:row>
                    <xdr:rowOff>0</xdr:rowOff>
                  </from>
                  <to>
                    <xdr:col>5</xdr:col>
                    <xdr:colOff>723900</xdr:colOff>
                    <xdr:row>33</xdr:row>
                    <xdr:rowOff>0</xdr:rowOff>
                  </to>
                </anchor>
              </controlPr>
            </control>
          </mc:Choice>
        </mc:AlternateContent>
        <mc:AlternateContent xmlns:mc="http://schemas.openxmlformats.org/markup-compatibility/2006">
          <mc:Choice Requires="x14">
            <control shapeId="157698" r:id="rId5" name="Check Box 2">
              <controlPr defaultSize="0" autoFill="0" autoLine="0" autoPict="0">
                <anchor moveWithCells="1">
                  <from>
                    <xdr:col>2</xdr:col>
                    <xdr:colOff>99060</xdr:colOff>
                    <xdr:row>34</xdr:row>
                    <xdr:rowOff>0</xdr:rowOff>
                  </from>
                  <to>
                    <xdr:col>7</xdr:col>
                    <xdr:colOff>556260</xdr:colOff>
                    <xdr:row>34</xdr:row>
                    <xdr:rowOff>160020</xdr:rowOff>
                  </to>
                </anchor>
              </controlPr>
            </control>
          </mc:Choice>
        </mc:AlternateContent>
        <mc:AlternateContent xmlns:mc="http://schemas.openxmlformats.org/markup-compatibility/2006">
          <mc:Choice Requires="x14">
            <control shapeId="157699" r:id="rId6" name="Check Box 3">
              <controlPr defaultSize="0" autoFill="0" autoLine="0" autoPict="0">
                <anchor moveWithCells="1">
                  <from>
                    <xdr:col>2</xdr:col>
                    <xdr:colOff>99060</xdr:colOff>
                    <xdr:row>32</xdr:row>
                    <xdr:rowOff>182880</xdr:rowOff>
                  </from>
                  <to>
                    <xdr:col>8</xdr:col>
                    <xdr:colOff>723900</xdr:colOff>
                    <xdr:row>33</xdr:row>
                    <xdr:rowOff>121920</xdr:rowOff>
                  </to>
                </anchor>
              </controlPr>
            </control>
          </mc:Choice>
        </mc:AlternateContent>
        <mc:AlternateContent xmlns:mc="http://schemas.openxmlformats.org/markup-compatibility/2006">
          <mc:Choice Requires="x14">
            <control shapeId="157700" r:id="rId7" name="Check Box 4">
              <controlPr defaultSize="0" autoFill="0" autoLine="0" autoPict="0">
                <anchor moveWithCells="1">
                  <from>
                    <xdr:col>2</xdr:col>
                    <xdr:colOff>38100</xdr:colOff>
                    <xdr:row>36</xdr:row>
                    <xdr:rowOff>30480</xdr:rowOff>
                  </from>
                  <to>
                    <xdr:col>15</xdr:col>
                    <xdr:colOff>457200</xdr:colOff>
                    <xdr:row>36</xdr:row>
                    <xdr:rowOff>160020</xdr:rowOff>
                  </to>
                </anchor>
              </controlPr>
            </control>
          </mc:Choice>
        </mc:AlternateContent>
        <mc:AlternateContent xmlns:mc="http://schemas.openxmlformats.org/markup-compatibility/2006">
          <mc:Choice Requires="x14">
            <control shapeId="157701" r:id="rId8" name="Check Box 5">
              <controlPr defaultSize="0" autoFill="0" autoLine="0" autoPict="0">
                <anchor moveWithCells="1">
                  <from>
                    <xdr:col>2</xdr:col>
                    <xdr:colOff>45720</xdr:colOff>
                    <xdr:row>37</xdr:row>
                    <xdr:rowOff>30480</xdr:rowOff>
                  </from>
                  <to>
                    <xdr:col>16</xdr:col>
                    <xdr:colOff>220980</xdr:colOff>
                    <xdr:row>38</xdr:row>
                    <xdr:rowOff>0</xdr:rowOff>
                  </to>
                </anchor>
              </controlPr>
            </control>
          </mc:Choice>
        </mc:AlternateContent>
        <mc:AlternateContent xmlns:mc="http://schemas.openxmlformats.org/markup-compatibility/2006">
          <mc:Choice Requires="x14">
            <control shapeId="157702" r:id="rId9" name="Check Box 6">
              <controlPr defaultSize="0" autoFill="0" autoLine="0" autoPict="0">
                <anchor moveWithCells="1">
                  <from>
                    <xdr:col>2</xdr:col>
                    <xdr:colOff>45720</xdr:colOff>
                    <xdr:row>38</xdr:row>
                    <xdr:rowOff>7620</xdr:rowOff>
                  </from>
                  <to>
                    <xdr:col>14</xdr:col>
                    <xdr:colOff>137160</xdr:colOff>
                    <xdr:row>39</xdr:row>
                    <xdr:rowOff>0</xdr:rowOff>
                  </to>
                </anchor>
              </controlPr>
            </control>
          </mc:Choice>
        </mc:AlternateContent>
        <mc:AlternateContent xmlns:mc="http://schemas.openxmlformats.org/markup-compatibility/2006">
          <mc:Choice Requires="x14">
            <control shapeId="157703" r:id="rId10" name="Check Box 7">
              <controlPr defaultSize="0" autoFill="0" autoLine="0" autoPict="0">
                <anchor moveWithCells="1">
                  <from>
                    <xdr:col>1</xdr:col>
                    <xdr:colOff>0</xdr:colOff>
                    <xdr:row>11</xdr:row>
                    <xdr:rowOff>0</xdr:rowOff>
                  </from>
                  <to>
                    <xdr:col>1</xdr:col>
                    <xdr:colOff>2933700</xdr:colOff>
                    <xdr:row>11</xdr:row>
                    <xdr:rowOff>251460</xdr:rowOff>
                  </to>
                </anchor>
              </controlPr>
            </control>
          </mc:Choice>
        </mc:AlternateContent>
        <mc:AlternateContent xmlns:mc="http://schemas.openxmlformats.org/markup-compatibility/2006">
          <mc:Choice Requires="x14">
            <control shapeId="157704" r:id="rId11" name="Check Box 8">
              <controlPr defaultSize="0" autoFill="0" autoLine="0" autoPict="0">
                <anchor moveWithCells="1">
                  <from>
                    <xdr:col>2</xdr:col>
                    <xdr:colOff>99060</xdr:colOff>
                    <xdr:row>32</xdr:row>
                    <xdr:rowOff>0</xdr:rowOff>
                  </from>
                  <to>
                    <xdr:col>5</xdr:col>
                    <xdr:colOff>723900</xdr:colOff>
                    <xdr:row>33</xdr:row>
                    <xdr:rowOff>0</xdr:rowOff>
                  </to>
                </anchor>
              </controlPr>
            </control>
          </mc:Choice>
        </mc:AlternateContent>
        <mc:AlternateContent xmlns:mc="http://schemas.openxmlformats.org/markup-compatibility/2006">
          <mc:Choice Requires="x14">
            <control shapeId="157705" r:id="rId12" name="Check Box 9">
              <controlPr defaultSize="0" autoFill="0" autoLine="0" autoPict="0">
                <anchor moveWithCells="1">
                  <from>
                    <xdr:col>2</xdr:col>
                    <xdr:colOff>99060</xdr:colOff>
                    <xdr:row>34</xdr:row>
                    <xdr:rowOff>0</xdr:rowOff>
                  </from>
                  <to>
                    <xdr:col>7</xdr:col>
                    <xdr:colOff>556260</xdr:colOff>
                    <xdr:row>34</xdr:row>
                    <xdr:rowOff>160020</xdr:rowOff>
                  </to>
                </anchor>
              </controlPr>
            </control>
          </mc:Choice>
        </mc:AlternateContent>
        <mc:AlternateContent xmlns:mc="http://schemas.openxmlformats.org/markup-compatibility/2006">
          <mc:Choice Requires="x14">
            <control shapeId="157706" r:id="rId13" name="Check Box 10">
              <controlPr defaultSize="0" autoFill="0" autoLine="0" autoPict="0">
                <anchor moveWithCells="1">
                  <from>
                    <xdr:col>2</xdr:col>
                    <xdr:colOff>99060</xdr:colOff>
                    <xdr:row>32</xdr:row>
                    <xdr:rowOff>182880</xdr:rowOff>
                  </from>
                  <to>
                    <xdr:col>8</xdr:col>
                    <xdr:colOff>723900</xdr:colOff>
                    <xdr:row>33</xdr:row>
                    <xdr:rowOff>121920</xdr:rowOff>
                  </to>
                </anchor>
              </controlPr>
            </control>
          </mc:Choice>
        </mc:AlternateContent>
        <mc:AlternateContent xmlns:mc="http://schemas.openxmlformats.org/markup-compatibility/2006">
          <mc:Choice Requires="x14">
            <control shapeId="157707" r:id="rId14" name="Check Box 11">
              <controlPr defaultSize="0" autoFill="0" autoLine="0" autoPict="0">
                <anchor moveWithCells="1">
                  <from>
                    <xdr:col>2</xdr:col>
                    <xdr:colOff>45720</xdr:colOff>
                    <xdr:row>38</xdr:row>
                    <xdr:rowOff>7620</xdr:rowOff>
                  </from>
                  <to>
                    <xdr:col>14</xdr:col>
                    <xdr:colOff>137160</xdr:colOff>
                    <xdr:row>39</xdr:row>
                    <xdr:rowOff>0</xdr:rowOff>
                  </to>
                </anchor>
              </controlPr>
            </control>
          </mc:Choice>
        </mc:AlternateContent>
        <mc:AlternateContent xmlns:mc="http://schemas.openxmlformats.org/markup-compatibility/2006">
          <mc:Choice Requires="x14">
            <control shapeId="157708" r:id="rId15" name="Check Box 12">
              <controlPr defaultSize="0" autoFill="0" autoLine="0" autoPict="0">
                <anchor moveWithCells="1">
                  <from>
                    <xdr:col>1</xdr:col>
                    <xdr:colOff>0</xdr:colOff>
                    <xdr:row>11</xdr:row>
                    <xdr:rowOff>0</xdr:rowOff>
                  </from>
                  <to>
                    <xdr:col>1</xdr:col>
                    <xdr:colOff>2933700</xdr:colOff>
                    <xdr:row>11</xdr:row>
                    <xdr:rowOff>251460</xdr:rowOff>
                  </to>
                </anchor>
              </controlPr>
            </control>
          </mc:Choice>
        </mc:AlternateContent>
        <mc:AlternateContent xmlns:mc="http://schemas.openxmlformats.org/markup-compatibility/2006">
          <mc:Choice Requires="x14">
            <control shapeId="157709" r:id="rId16" name="Check Box 13">
              <controlPr defaultSize="0" autoFill="0" autoLine="0" autoPict="0">
                <anchor moveWithCells="1">
                  <from>
                    <xdr:col>2</xdr:col>
                    <xdr:colOff>99060</xdr:colOff>
                    <xdr:row>32</xdr:row>
                    <xdr:rowOff>0</xdr:rowOff>
                  </from>
                  <to>
                    <xdr:col>5</xdr:col>
                    <xdr:colOff>723900</xdr:colOff>
                    <xdr:row>33</xdr:row>
                    <xdr:rowOff>0</xdr:rowOff>
                  </to>
                </anchor>
              </controlPr>
            </control>
          </mc:Choice>
        </mc:AlternateContent>
        <mc:AlternateContent xmlns:mc="http://schemas.openxmlformats.org/markup-compatibility/2006">
          <mc:Choice Requires="x14">
            <control shapeId="157710" r:id="rId17" name="Check Box 14">
              <controlPr defaultSize="0" autoFill="0" autoLine="0" autoPict="0">
                <anchor moveWithCells="1">
                  <from>
                    <xdr:col>2</xdr:col>
                    <xdr:colOff>99060</xdr:colOff>
                    <xdr:row>34</xdr:row>
                    <xdr:rowOff>0</xdr:rowOff>
                  </from>
                  <to>
                    <xdr:col>7</xdr:col>
                    <xdr:colOff>556260</xdr:colOff>
                    <xdr:row>34</xdr:row>
                    <xdr:rowOff>160020</xdr:rowOff>
                  </to>
                </anchor>
              </controlPr>
            </control>
          </mc:Choice>
        </mc:AlternateContent>
        <mc:AlternateContent xmlns:mc="http://schemas.openxmlformats.org/markup-compatibility/2006">
          <mc:Choice Requires="x14">
            <control shapeId="157711" r:id="rId18" name="Check Box 15">
              <controlPr defaultSize="0" autoFill="0" autoLine="0" autoPict="0">
                <anchor moveWithCells="1">
                  <from>
                    <xdr:col>2</xdr:col>
                    <xdr:colOff>99060</xdr:colOff>
                    <xdr:row>32</xdr:row>
                    <xdr:rowOff>182880</xdr:rowOff>
                  </from>
                  <to>
                    <xdr:col>8</xdr:col>
                    <xdr:colOff>723900</xdr:colOff>
                    <xdr:row>33</xdr:row>
                    <xdr:rowOff>121920</xdr:rowOff>
                  </to>
                </anchor>
              </controlPr>
            </control>
          </mc:Choice>
        </mc:AlternateContent>
        <mc:AlternateContent xmlns:mc="http://schemas.openxmlformats.org/markup-compatibility/2006">
          <mc:Choice Requires="x14">
            <control shapeId="157712" r:id="rId19" name="Check Box 16">
              <controlPr defaultSize="0" autoFill="0" autoLine="0" autoPict="0">
                <anchor moveWithCells="1">
                  <from>
                    <xdr:col>2</xdr:col>
                    <xdr:colOff>38100</xdr:colOff>
                    <xdr:row>36</xdr:row>
                    <xdr:rowOff>30480</xdr:rowOff>
                  </from>
                  <to>
                    <xdr:col>15</xdr:col>
                    <xdr:colOff>457200</xdr:colOff>
                    <xdr:row>36</xdr:row>
                    <xdr:rowOff>160020</xdr:rowOff>
                  </to>
                </anchor>
              </controlPr>
            </control>
          </mc:Choice>
        </mc:AlternateContent>
        <mc:AlternateContent xmlns:mc="http://schemas.openxmlformats.org/markup-compatibility/2006">
          <mc:Choice Requires="x14">
            <control shapeId="157713" r:id="rId20" name="Check Box 17">
              <controlPr defaultSize="0" autoFill="0" autoLine="0" autoPict="0">
                <anchor moveWithCells="1">
                  <from>
                    <xdr:col>2</xdr:col>
                    <xdr:colOff>45720</xdr:colOff>
                    <xdr:row>37</xdr:row>
                    <xdr:rowOff>30480</xdr:rowOff>
                  </from>
                  <to>
                    <xdr:col>16</xdr:col>
                    <xdr:colOff>220980</xdr:colOff>
                    <xdr:row>38</xdr:row>
                    <xdr:rowOff>0</xdr:rowOff>
                  </to>
                </anchor>
              </controlPr>
            </control>
          </mc:Choice>
        </mc:AlternateContent>
        <mc:AlternateContent xmlns:mc="http://schemas.openxmlformats.org/markup-compatibility/2006">
          <mc:Choice Requires="x14">
            <control shapeId="157714" r:id="rId21" name="Check Box 18">
              <controlPr defaultSize="0" autoFill="0" autoLine="0" autoPict="0">
                <anchor moveWithCells="1">
                  <from>
                    <xdr:col>2</xdr:col>
                    <xdr:colOff>45720</xdr:colOff>
                    <xdr:row>38</xdr:row>
                    <xdr:rowOff>7620</xdr:rowOff>
                  </from>
                  <to>
                    <xdr:col>14</xdr:col>
                    <xdr:colOff>137160</xdr:colOff>
                    <xdr:row>39</xdr:row>
                    <xdr:rowOff>0</xdr:rowOff>
                  </to>
                </anchor>
              </controlPr>
            </control>
          </mc:Choice>
        </mc:AlternateContent>
        <mc:AlternateContent xmlns:mc="http://schemas.openxmlformats.org/markup-compatibility/2006">
          <mc:Choice Requires="x14">
            <control shapeId="157715" r:id="rId22" name="Check Box 19">
              <controlPr defaultSize="0" autoFill="0" autoLine="0" autoPict="0">
                <anchor moveWithCells="1">
                  <from>
                    <xdr:col>1</xdr:col>
                    <xdr:colOff>0</xdr:colOff>
                    <xdr:row>11</xdr:row>
                    <xdr:rowOff>0</xdr:rowOff>
                  </from>
                  <to>
                    <xdr:col>1</xdr:col>
                    <xdr:colOff>2933700</xdr:colOff>
                    <xdr:row>11</xdr:row>
                    <xdr:rowOff>251460</xdr:rowOff>
                  </to>
                </anchor>
              </controlPr>
            </control>
          </mc:Choice>
        </mc:AlternateContent>
        <mc:AlternateContent xmlns:mc="http://schemas.openxmlformats.org/markup-compatibility/2006">
          <mc:Choice Requires="x14">
            <control shapeId="157716" r:id="rId23" name="Check Box 20">
              <controlPr defaultSize="0" autoFill="0" autoLine="0" autoPict="0">
                <anchor moveWithCells="1">
                  <from>
                    <xdr:col>2</xdr:col>
                    <xdr:colOff>99060</xdr:colOff>
                    <xdr:row>32</xdr:row>
                    <xdr:rowOff>0</xdr:rowOff>
                  </from>
                  <to>
                    <xdr:col>5</xdr:col>
                    <xdr:colOff>723900</xdr:colOff>
                    <xdr:row>33</xdr:row>
                    <xdr:rowOff>0</xdr:rowOff>
                  </to>
                </anchor>
              </controlPr>
            </control>
          </mc:Choice>
        </mc:AlternateContent>
        <mc:AlternateContent xmlns:mc="http://schemas.openxmlformats.org/markup-compatibility/2006">
          <mc:Choice Requires="x14">
            <control shapeId="157717" r:id="rId24" name="Check Box 21">
              <controlPr defaultSize="0" autoFill="0" autoLine="0" autoPict="0">
                <anchor moveWithCells="1">
                  <from>
                    <xdr:col>2</xdr:col>
                    <xdr:colOff>99060</xdr:colOff>
                    <xdr:row>34</xdr:row>
                    <xdr:rowOff>0</xdr:rowOff>
                  </from>
                  <to>
                    <xdr:col>7</xdr:col>
                    <xdr:colOff>556260</xdr:colOff>
                    <xdr:row>34</xdr:row>
                    <xdr:rowOff>160020</xdr:rowOff>
                  </to>
                </anchor>
              </controlPr>
            </control>
          </mc:Choice>
        </mc:AlternateContent>
        <mc:AlternateContent xmlns:mc="http://schemas.openxmlformats.org/markup-compatibility/2006">
          <mc:Choice Requires="x14">
            <control shapeId="157718" r:id="rId25" name="Check Box 22">
              <controlPr defaultSize="0" autoFill="0" autoLine="0" autoPict="0">
                <anchor moveWithCells="1">
                  <from>
                    <xdr:col>2</xdr:col>
                    <xdr:colOff>99060</xdr:colOff>
                    <xdr:row>32</xdr:row>
                    <xdr:rowOff>182880</xdr:rowOff>
                  </from>
                  <to>
                    <xdr:col>8</xdr:col>
                    <xdr:colOff>723900</xdr:colOff>
                    <xdr:row>33</xdr:row>
                    <xdr:rowOff>121920</xdr:rowOff>
                  </to>
                </anchor>
              </controlPr>
            </control>
          </mc:Choice>
        </mc:AlternateContent>
        <mc:AlternateContent xmlns:mc="http://schemas.openxmlformats.org/markup-compatibility/2006">
          <mc:Choice Requires="x14">
            <control shapeId="157719" r:id="rId26" name="Check Box 23">
              <controlPr defaultSize="0" autoFill="0" autoLine="0" autoPict="0">
                <anchor moveWithCells="1">
                  <from>
                    <xdr:col>2</xdr:col>
                    <xdr:colOff>45720</xdr:colOff>
                    <xdr:row>38</xdr:row>
                    <xdr:rowOff>7620</xdr:rowOff>
                  </from>
                  <to>
                    <xdr:col>14</xdr:col>
                    <xdr:colOff>137160</xdr:colOff>
                    <xdr:row>39</xdr:row>
                    <xdr:rowOff>0</xdr:rowOff>
                  </to>
                </anchor>
              </controlPr>
            </control>
          </mc:Choice>
        </mc:AlternateContent>
        <mc:AlternateContent xmlns:mc="http://schemas.openxmlformats.org/markup-compatibility/2006">
          <mc:Choice Requires="x14">
            <control shapeId="157720" r:id="rId27" name="Check Box 24">
              <controlPr defaultSize="0" autoFill="0" autoLine="0" autoPict="0">
                <anchor moveWithCells="1">
                  <from>
                    <xdr:col>1</xdr:col>
                    <xdr:colOff>0</xdr:colOff>
                    <xdr:row>11</xdr:row>
                    <xdr:rowOff>0</xdr:rowOff>
                  </from>
                  <to>
                    <xdr:col>1</xdr:col>
                    <xdr:colOff>2933700</xdr:colOff>
                    <xdr:row>11</xdr:row>
                    <xdr:rowOff>251460</xdr:rowOff>
                  </to>
                </anchor>
              </controlPr>
            </control>
          </mc:Choice>
        </mc:AlternateContent>
        <mc:AlternateContent xmlns:mc="http://schemas.openxmlformats.org/markup-compatibility/2006">
          <mc:Choice Requires="x14">
            <control shapeId="157721" r:id="rId28" name="Check Box 25">
              <controlPr defaultSize="0" autoFill="0" autoLine="0" autoPict="0">
                <anchor moveWithCells="1">
                  <from>
                    <xdr:col>2</xdr:col>
                    <xdr:colOff>99060</xdr:colOff>
                    <xdr:row>37</xdr:row>
                    <xdr:rowOff>0</xdr:rowOff>
                  </from>
                  <to>
                    <xdr:col>6</xdr:col>
                    <xdr:colOff>0</xdr:colOff>
                    <xdr:row>38</xdr:row>
                    <xdr:rowOff>0</xdr:rowOff>
                  </to>
                </anchor>
              </controlPr>
            </control>
          </mc:Choice>
        </mc:AlternateContent>
        <mc:AlternateContent xmlns:mc="http://schemas.openxmlformats.org/markup-compatibility/2006">
          <mc:Choice Requires="x14">
            <control shapeId="157722" r:id="rId29" name="Check Box 26">
              <controlPr defaultSize="0" autoFill="0" autoLine="0" autoPict="0">
                <anchor moveWithCells="1">
                  <from>
                    <xdr:col>2</xdr:col>
                    <xdr:colOff>99060</xdr:colOff>
                    <xdr:row>39</xdr:row>
                    <xdr:rowOff>0</xdr:rowOff>
                  </from>
                  <to>
                    <xdr:col>7</xdr:col>
                    <xdr:colOff>556260</xdr:colOff>
                    <xdr:row>39</xdr:row>
                    <xdr:rowOff>160020</xdr:rowOff>
                  </to>
                </anchor>
              </controlPr>
            </control>
          </mc:Choice>
        </mc:AlternateContent>
        <mc:AlternateContent xmlns:mc="http://schemas.openxmlformats.org/markup-compatibility/2006">
          <mc:Choice Requires="x14">
            <control shapeId="157723" r:id="rId30" name="Check Box 27">
              <controlPr defaultSize="0" autoFill="0" autoLine="0" autoPict="0">
                <anchor moveWithCells="1">
                  <from>
                    <xdr:col>2</xdr:col>
                    <xdr:colOff>99060</xdr:colOff>
                    <xdr:row>37</xdr:row>
                    <xdr:rowOff>182880</xdr:rowOff>
                  </from>
                  <to>
                    <xdr:col>8</xdr:col>
                    <xdr:colOff>708660</xdr:colOff>
                    <xdr:row>38</xdr:row>
                    <xdr:rowOff>137160</xdr:rowOff>
                  </to>
                </anchor>
              </controlPr>
            </control>
          </mc:Choice>
        </mc:AlternateContent>
        <mc:AlternateContent xmlns:mc="http://schemas.openxmlformats.org/markup-compatibility/2006">
          <mc:Choice Requires="x14">
            <control shapeId="157724" r:id="rId31" name="Check Box 28">
              <controlPr defaultSize="0" autoFill="0" autoLine="0" autoPict="0">
                <anchor moveWithCells="1">
                  <from>
                    <xdr:col>2</xdr:col>
                    <xdr:colOff>38100</xdr:colOff>
                    <xdr:row>41</xdr:row>
                    <xdr:rowOff>30480</xdr:rowOff>
                  </from>
                  <to>
                    <xdr:col>15</xdr:col>
                    <xdr:colOff>441960</xdr:colOff>
                    <xdr:row>41</xdr:row>
                    <xdr:rowOff>160020</xdr:rowOff>
                  </to>
                </anchor>
              </controlPr>
            </control>
          </mc:Choice>
        </mc:AlternateContent>
        <mc:AlternateContent xmlns:mc="http://schemas.openxmlformats.org/markup-compatibility/2006">
          <mc:Choice Requires="x14">
            <control shapeId="157725" r:id="rId32" name="Check Box 29">
              <controlPr defaultSize="0" autoFill="0" autoLine="0" autoPict="0">
                <anchor moveWithCells="1">
                  <from>
                    <xdr:col>2</xdr:col>
                    <xdr:colOff>45720</xdr:colOff>
                    <xdr:row>42</xdr:row>
                    <xdr:rowOff>30480</xdr:rowOff>
                  </from>
                  <to>
                    <xdr:col>16</xdr:col>
                    <xdr:colOff>198120</xdr:colOff>
                    <xdr:row>42</xdr:row>
                    <xdr:rowOff>175260</xdr:rowOff>
                  </to>
                </anchor>
              </controlPr>
            </control>
          </mc:Choice>
        </mc:AlternateContent>
        <mc:AlternateContent xmlns:mc="http://schemas.openxmlformats.org/markup-compatibility/2006">
          <mc:Choice Requires="x14">
            <control shapeId="157726" r:id="rId33" name="Check Box 30">
              <controlPr defaultSize="0" autoFill="0" autoLine="0" autoPict="0">
                <anchor moveWithCells="1">
                  <from>
                    <xdr:col>2</xdr:col>
                    <xdr:colOff>45720</xdr:colOff>
                    <xdr:row>43</xdr:row>
                    <xdr:rowOff>7620</xdr:rowOff>
                  </from>
                  <to>
                    <xdr:col>14</xdr:col>
                    <xdr:colOff>137160</xdr:colOff>
                    <xdr:row>43</xdr:row>
                    <xdr:rowOff>182880</xdr:rowOff>
                  </to>
                </anchor>
              </controlPr>
            </control>
          </mc:Choice>
        </mc:AlternateContent>
        <mc:AlternateContent xmlns:mc="http://schemas.openxmlformats.org/markup-compatibility/2006">
          <mc:Choice Requires="x14">
            <control shapeId="157727" r:id="rId34" name="Check Box 31">
              <controlPr defaultSize="0" autoFill="0" autoLine="0" autoPict="0">
                <anchor moveWithCells="1">
                  <from>
                    <xdr:col>1</xdr:col>
                    <xdr:colOff>0</xdr:colOff>
                    <xdr:row>11</xdr:row>
                    <xdr:rowOff>0</xdr:rowOff>
                  </from>
                  <to>
                    <xdr:col>1</xdr:col>
                    <xdr:colOff>3002280</xdr:colOff>
                    <xdr:row>11</xdr:row>
                    <xdr:rowOff>251460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workbookViewId="0">
      <selection activeCell="J9" sqref="J9"/>
    </sheetView>
  </sheetViews>
  <sheetFormatPr defaultColWidth="9.109375" defaultRowHeight="15.6"/>
  <cols>
    <col min="1" max="1" width="9.109375" style="71"/>
    <col min="2" max="2" width="13.5546875" style="71" customWidth="1"/>
    <col min="3" max="3" width="11.44140625" style="71" customWidth="1"/>
    <col min="4" max="4" width="15.88671875" style="71" customWidth="1"/>
    <col min="5" max="5" width="20.44140625" style="71" customWidth="1"/>
    <col min="6" max="6" width="9" style="71" customWidth="1"/>
    <col min="7" max="7" width="8.5546875" style="71" customWidth="1"/>
    <col min="8" max="8" width="10.6640625" style="71" customWidth="1"/>
    <col min="9" max="9" width="15" style="71" customWidth="1"/>
    <col min="10" max="10" width="59" style="71" customWidth="1"/>
    <col min="11" max="11" width="32.5546875" style="71" customWidth="1"/>
    <col min="12" max="12" width="84.88671875" style="71" customWidth="1"/>
    <col min="13" max="14" width="20.109375" style="71" customWidth="1"/>
    <col min="15" max="15" width="23.109375" style="71" customWidth="1"/>
    <col min="16" max="16" width="26.109375" style="71" customWidth="1"/>
    <col min="17" max="17" width="18.109375" style="71" customWidth="1"/>
    <col min="18" max="18" width="15.33203125" style="71" customWidth="1"/>
    <col min="19" max="19" width="15.6640625" style="71" customWidth="1"/>
    <col min="20" max="20" width="10.6640625" style="71" customWidth="1"/>
    <col min="21" max="21" width="11.44140625" style="71" customWidth="1"/>
    <col min="22" max="22" width="9.109375" style="71"/>
    <col min="23" max="23" width="14.88671875" style="71" hidden="1" customWidth="1"/>
    <col min="24" max="16384" width="9.109375" style="71"/>
  </cols>
  <sheetData>
    <row r="1" spans="1:16">
      <c r="A1" s="2" t="s">
        <v>176</v>
      </c>
    </row>
    <row r="2" spans="1:16" ht="18">
      <c r="A2" s="118"/>
    </row>
    <row r="3" spans="1:16">
      <c r="A3" s="2" t="s">
        <v>268</v>
      </c>
    </row>
    <row r="5" spans="1:16">
      <c r="B5" s="119" t="s">
        <v>725</v>
      </c>
      <c r="E5" s="811" t="s">
        <v>640</v>
      </c>
      <c r="F5" s="811"/>
      <c r="G5" s="811"/>
      <c r="H5" s="811"/>
      <c r="I5" s="811"/>
    </row>
    <row r="7" spans="1:16" ht="42" customHeight="1">
      <c r="B7" s="779" t="s">
        <v>5</v>
      </c>
      <c r="C7" s="779"/>
      <c r="D7" s="775" t="s">
        <v>124</v>
      </c>
      <c r="E7" s="775"/>
      <c r="F7" s="780" t="s">
        <v>123</v>
      </c>
      <c r="G7" s="781"/>
      <c r="H7" s="782"/>
      <c r="I7" s="773" t="s">
        <v>175</v>
      </c>
      <c r="J7" s="773" t="s">
        <v>174</v>
      </c>
      <c r="K7" s="773" t="s">
        <v>180</v>
      </c>
      <c r="L7" s="773" t="s">
        <v>181</v>
      </c>
      <c r="M7" s="775" t="s">
        <v>122</v>
      </c>
      <c r="N7" s="773" t="s">
        <v>121</v>
      </c>
      <c r="O7" s="773" t="s">
        <v>173</v>
      </c>
      <c r="P7" s="775" t="s">
        <v>183</v>
      </c>
    </row>
    <row r="8" spans="1:16" ht="22.5" customHeight="1">
      <c r="B8" s="354" t="s">
        <v>1</v>
      </c>
      <c r="C8" s="354" t="s">
        <v>20</v>
      </c>
      <c r="D8" s="353" t="s">
        <v>120</v>
      </c>
      <c r="E8" s="354" t="s">
        <v>20</v>
      </c>
      <c r="F8" s="354" t="s">
        <v>54</v>
      </c>
      <c r="G8" s="354" t="s">
        <v>72</v>
      </c>
      <c r="H8" s="354" t="s">
        <v>97</v>
      </c>
      <c r="I8" s="774"/>
      <c r="J8" s="774"/>
      <c r="K8" s="774"/>
      <c r="L8" s="774"/>
      <c r="M8" s="775"/>
      <c r="N8" s="774"/>
      <c r="O8" s="774"/>
      <c r="P8" s="775"/>
    </row>
    <row r="9" spans="1:16" ht="302.39999999999998">
      <c r="B9" s="355">
        <v>1016</v>
      </c>
      <c r="C9" s="355">
        <v>11004</v>
      </c>
      <c r="D9" s="360" t="s">
        <v>625</v>
      </c>
      <c r="E9" s="360" t="s">
        <v>609</v>
      </c>
      <c r="F9" s="362">
        <v>60750</v>
      </c>
      <c r="G9" s="362">
        <v>60750</v>
      </c>
      <c r="H9" s="362">
        <v>60750</v>
      </c>
      <c r="I9" s="360" t="s">
        <v>632</v>
      </c>
      <c r="J9" s="360" t="s">
        <v>607</v>
      </c>
      <c r="K9" s="355"/>
      <c r="L9" s="360" t="s">
        <v>608</v>
      </c>
      <c r="M9" s="355">
        <v>2027</v>
      </c>
      <c r="N9" s="355" t="s">
        <v>587</v>
      </c>
      <c r="O9" s="355"/>
      <c r="P9" s="355"/>
    </row>
    <row r="10" spans="1:16">
      <c r="B10" s="70" t="s">
        <v>9</v>
      </c>
      <c r="C10" s="70"/>
      <c r="D10" s="70"/>
      <c r="E10" s="70"/>
      <c r="F10" s="366">
        <f>F9</f>
        <v>60750</v>
      </c>
      <c r="G10" s="366">
        <f>G9</f>
        <v>60750</v>
      </c>
      <c r="H10" s="366">
        <f>H9</f>
        <v>60750</v>
      </c>
      <c r="I10" s="70"/>
      <c r="J10" s="70"/>
      <c r="K10" s="151"/>
      <c r="L10" s="151"/>
      <c r="M10" s="151"/>
      <c r="N10" s="151"/>
      <c r="O10" s="151"/>
      <c r="P10" s="70"/>
    </row>
    <row r="11" spans="1:16" hidden="1">
      <c r="B11" s="776" t="s">
        <v>9</v>
      </c>
      <c r="C11" s="777"/>
      <c r="D11" s="777"/>
      <c r="E11" s="778"/>
      <c r="F11" s="147">
        <f>SUM(F9:F10)</f>
        <v>121500</v>
      </c>
      <c r="G11" s="147">
        <f>SUM(G9:G10)</f>
        <v>121500</v>
      </c>
      <c r="H11" s="147">
        <f>SUM(H9:H10)</f>
        <v>121500</v>
      </c>
      <c r="I11" s="117" t="s">
        <v>39</v>
      </c>
      <c r="J11" s="117" t="s">
        <v>39</v>
      </c>
      <c r="K11" s="117" t="s">
        <v>39</v>
      </c>
      <c r="L11" s="117" t="s">
        <v>39</v>
      </c>
      <c r="M11" s="117"/>
      <c r="N11" s="117"/>
      <c r="O11" s="117"/>
      <c r="P11" s="117" t="s">
        <v>39</v>
      </c>
    </row>
    <row r="13" spans="1:16" ht="26.25" customHeight="1"/>
    <row r="14" spans="1:16" ht="15.6" hidden="1" customHeight="1"/>
  </sheetData>
  <mergeCells count="13">
    <mergeCell ref="E5:I5"/>
    <mergeCell ref="J7:J8"/>
    <mergeCell ref="K7:K8"/>
    <mergeCell ref="B11:E11"/>
    <mergeCell ref="B7:C7"/>
    <mergeCell ref="D7:E7"/>
    <mergeCell ref="F7:H7"/>
    <mergeCell ref="I7:I8"/>
    <mergeCell ref="L7:L8"/>
    <mergeCell ref="M7:M8"/>
    <mergeCell ref="N7:N8"/>
    <mergeCell ref="O7:O8"/>
    <mergeCell ref="P7:P8"/>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99"/>
  <sheetViews>
    <sheetView workbookViewId="0">
      <selection sqref="A1:XFD1048576"/>
    </sheetView>
  </sheetViews>
  <sheetFormatPr defaultColWidth="9.109375" defaultRowHeight="15"/>
  <cols>
    <col min="2" max="2" width="62.44140625" style="146" customWidth="1"/>
    <col min="3" max="3" width="23.109375" customWidth="1"/>
    <col min="4" max="4" width="36.5546875" customWidth="1"/>
    <col min="5" max="5" width="20.109375" customWidth="1"/>
    <col min="6" max="6" width="14.5546875" customWidth="1"/>
    <col min="7" max="7" width="28.33203125" customWidth="1"/>
    <col min="8" max="8" width="4" hidden="1" customWidth="1"/>
    <col min="9" max="10" width="7.88671875" hidden="1" customWidth="1"/>
  </cols>
  <sheetData>
    <row r="1" spans="1:10" ht="18.600000000000001">
      <c r="A1" s="2" t="s">
        <v>739</v>
      </c>
      <c r="B1"/>
      <c r="C1" s="474"/>
      <c r="D1" s="474"/>
      <c r="E1" s="17"/>
      <c r="F1" s="17"/>
      <c r="H1" s="17" t="s">
        <v>125</v>
      </c>
      <c r="I1" s="17" t="s">
        <v>126</v>
      </c>
      <c r="J1" t="s">
        <v>127</v>
      </c>
    </row>
    <row r="2" spans="1:10" ht="18">
      <c r="A2" s="122"/>
      <c r="B2" s="118"/>
      <c r="C2" s="474"/>
      <c r="D2" s="474"/>
      <c r="E2" s="17"/>
      <c r="F2" s="17"/>
      <c r="H2" s="17" t="s">
        <v>128</v>
      </c>
      <c r="I2" t="s">
        <v>129</v>
      </c>
      <c r="J2" s="124" t="s">
        <v>130</v>
      </c>
    </row>
    <row r="3" spans="1:10" ht="18">
      <c r="A3" s="119" t="s">
        <v>131</v>
      </c>
      <c r="B3" s="118"/>
      <c r="C3" s="474"/>
      <c r="D3" s="474"/>
      <c r="E3" s="17"/>
      <c r="F3" s="17"/>
      <c r="H3" s="17" t="s">
        <v>132</v>
      </c>
      <c r="I3" t="s">
        <v>133</v>
      </c>
      <c r="J3" s="124" t="s">
        <v>134</v>
      </c>
    </row>
    <row r="4" spans="1:10" ht="18">
      <c r="A4" s="122"/>
      <c r="B4" s="118"/>
      <c r="C4" s="474"/>
      <c r="D4" s="474"/>
      <c r="E4" s="17"/>
      <c r="F4" s="17"/>
      <c r="H4" s="17" t="s">
        <v>135</v>
      </c>
      <c r="J4" s="124" t="s">
        <v>136</v>
      </c>
    </row>
    <row r="5" spans="1:10" ht="26.4">
      <c r="A5" s="122"/>
      <c r="B5" s="125" t="s">
        <v>741</v>
      </c>
      <c r="C5" s="475" t="s">
        <v>793</v>
      </c>
      <c r="D5" s="474"/>
      <c r="E5" s="17"/>
      <c r="F5" s="17"/>
      <c r="G5" s="17"/>
    </row>
    <row r="6" spans="1:10" ht="62.4" customHeight="1">
      <c r="A6" s="122"/>
      <c r="B6" s="125" t="s">
        <v>743</v>
      </c>
      <c r="C6" s="475"/>
      <c r="D6" s="474" t="s">
        <v>794</v>
      </c>
      <c r="E6" s="17"/>
      <c r="F6" s="17"/>
      <c r="G6" s="17"/>
    </row>
    <row r="7" spans="1:10" ht="18">
      <c r="A7" s="122"/>
      <c r="B7" s="118"/>
      <c r="C7" s="474"/>
      <c r="D7" s="474"/>
      <c r="E7" s="17"/>
      <c r="F7" s="17"/>
      <c r="G7" s="17"/>
    </row>
    <row r="8" spans="1:10" ht="18">
      <c r="A8" s="119" t="s">
        <v>137</v>
      </c>
      <c r="B8" s="118"/>
      <c r="C8" s="474"/>
      <c r="D8" s="474"/>
      <c r="E8" s="17"/>
      <c r="F8" s="17"/>
      <c r="G8" s="17"/>
    </row>
    <row r="9" spans="1:10" ht="18">
      <c r="A9" s="119"/>
      <c r="B9" s="118"/>
      <c r="C9" s="474"/>
      <c r="D9" s="474"/>
      <c r="E9" s="17"/>
      <c r="F9" s="17"/>
      <c r="G9" s="17"/>
    </row>
    <row r="10" spans="1:10" ht="39.6">
      <c r="A10" s="119"/>
      <c r="B10" s="125" t="s">
        <v>745</v>
      </c>
      <c r="C10" s="475" t="s">
        <v>625</v>
      </c>
      <c r="G10" s="17"/>
    </row>
    <row r="11" spans="1:10" ht="18">
      <c r="A11" s="119"/>
      <c r="B11" s="125" t="s">
        <v>746</v>
      </c>
      <c r="C11" s="126">
        <v>1016</v>
      </c>
      <c r="D11" s="474"/>
      <c r="G11" s="17"/>
    </row>
    <row r="12" spans="1:10" ht="18">
      <c r="A12" s="119"/>
      <c r="B12" s="127"/>
      <c r="C12" s="128"/>
      <c r="D12" s="474"/>
      <c r="E12" s="17"/>
      <c r="F12" s="17"/>
      <c r="G12" s="17"/>
    </row>
    <row r="13" spans="1:10" ht="18">
      <c r="A13" s="119"/>
      <c r="B13" s="125" t="s">
        <v>138</v>
      </c>
      <c r="C13" s="126">
        <v>2027</v>
      </c>
      <c r="D13" s="474"/>
      <c r="E13" s="17"/>
      <c r="F13" s="17"/>
      <c r="G13" s="17"/>
    </row>
    <row r="14" spans="1:10" ht="18">
      <c r="A14" s="119"/>
      <c r="B14" s="125" t="s">
        <v>748</v>
      </c>
      <c r="C14" s="126" t="s">
        <v>630</v>
      </c>
      <c r="D14" s="474"/>
      <c r="E14" s="17"/>
      <c r="F14" s="17"/>
      <c r="G14" s="17"/>
    </row>
    <row r="15" spans="1:10" ht="18">
      <c r="A15" s="119"/>
      <c r="B15" s="118"/>
      <c r="C15" s="115"/>
      <c r="D15" s="474"/>
      <c r="E15" s="17"/>
      <c r="F15" s="17"/>
      <c r="G15" s="17"/>
    </row>
    <row r="16" spans="1:10" ht="18">
      <c r="A16" s="119" t="s">
        <v>139</v>
      </c>
      <c r="B16" s="118"/>
      <c r="C16" s="115"/>
      <c r="D16" s="474"/>
      <c r="E16" s="17"/>
      <c r="F16" s="17"/>
      <c r="G16" s="17"/>
    </row>
    <row r="17" spans="1:10" ht="79.2">
      <c r="B17" s="125" t="s">
        <v>749</v>
      </c>
      <c r="C17" s="660" t="s">
        <v>609</v>
      </c>
      <c r="D17" s="474"/>
      <c r="E17" s="17"/>
      <c r="F17" s="17"/>
      <c r="G17" s="17"/>
    </row>
    <row r="18" spans="1:10" ht="18">
      <c r="A18" s="119"/>
      <c r="B18" s="125" t="s">
        <v>750</v>
      </c>
      <c r="C18" s="498">
        <v>11004</v>
      </c>
      <c r="D18" s="474"/>
      <c r="E18" s="17"/>
      <c r="F18" s="17"/>
      <c r="G18" s="17"/>
    </row>
    <row r="19" spans="1:10" ht="18">
      <c r="A19" s="119"/>
      <c r="B19" s="474"/>
      <c r="C19" s="474"/>
      <c r="D19" s="474"/>
      <c r="E19" s="17"/>
      <c r="F19" s="17"/>
      <c r="G19" s="17"/>
    </row>
    <row r="20" spans="1:10" ht="26.25" customHeight="1">
      <c r="A20" s="119"/>
      <c r="B20" s="125" t="s">
        <v>751</v>
      </c>
      <c r="C20" s="129" t="s">
        <v>128</v>
      </c>
      <c r="F20" s="17"/>
      <c r="G20" s="17"/>
    </row>
    <row r="21" spans="1:10" ht="18">
      <c r="A21" s="119"/>
      <c r="B21"/>
      <c r="C21" s="130"/>
      <c r="F21" s="17"/>
      <c r="G21" s="17"/>
    </row>
    <row r="22" spans="1:10" ht="18">
      <c r="A22" s="119"/>
      <c r="B22" s="118"/>
      <c r="C22" s="115"/>
      <c r="D22" s="474"/>
      <c r="E22" s="17"/>
      <c r="F22" s="17"/>
      <c r="G22" s="17"/>
    </row>
    <row r="23" spans="1:10" ht="18">
      <c r="A23" s="119"/>
      <c r="B23" s="125" t="s">
        <v>752</v>
      </c>
      <c r="C23" s="129" t="s">
        <v>129</v>
      </c>
      <c r="F23" s="17"/>
      <c r="G23" s="17"/>
    </row>
    <row r="24" spans="1:10" ht="18">
      <c r="A24" s="119"/>
      <c r="B24"/>
      <c r="C24" s="130"/>
      <c r="D24" s="474"/>
      <c r="E24" s="17"/>
      <c r="F24" s="17"/>
      <c r="G24" s="17"/>
    </row>
    <row r="25" spans="1:10" ht="18">
      <c r="A25" s="119"/>
      <c r="B25" s="118"/>
      <c r="C25" s="115"/>
      <c r="D25" s="474"/>
      <c r="E25" s="17"/>
      <c r="F25" s="17"/>
      <c r="G25" s="17"/>
    </row>
    <row r="26" spans="1:10" ht="15.75" customHeight="1">
      <c r="A26" s="119" t="s">
        <v>140</v>
      </c>
      <c r="B26"/>
      <c r="C26" s="118"/>
      <c r="D26" s="118"/>
      <c r="E26" s="118"/>
      <c r="F26" s="118"/>
      <c r="G26" s="118"/>
      <c r="H26" s="118"/>
      <c r="I26" s="118"/>
      <c r="J26" s="118"/>
    </row>
    <row r="27" spans="1:10" ht="18">
      <c r="B27" s="118"/>
      <c r="C27" s="118"/>
      <c r="D27" s="118"/>
      <c r="E27" s="118"/>
      <c r="F27" s="118"/>
      <c r="G27" s="118"/>
      <c r="H27" s="118"/>
      <c r="I27" s="118"/>
      <c r="J27" s="118"/>
    </row>
    <row r="28" spans="1:10" ht="66.599999999999994">
      <c r="B28" s="131" t="s">
        <v>753</v>
      </c>
      <c r="C28" s="131" t="s">
        <v>754</v>
      </c>
      <c r="D28" s="131" t="s">
        <v>755</v>
      </c>
      <c r="E28" s="131" t="s">
        <v>756</v>
      </c>
      <c r="F28" s="118"/>
      <c r="G28" s="118"/>
      <c r="H28" s="118"/>
      <c r="I28" s="118"/>
      <c r="J28" s="118"/>
    </row>
    <row r="29" spans="1:10" ht="171.75" customHeight="1">
      <c r="B29" s="499" t="s">
        <v>130</v>
      </c>
      <c r="C29" s="500" t="s">
        <v>947</v>
      </c>
      <c r="D29" s="500" t="s">
        <v>948</v>
      </c>
      <c r="E29" s="500" t="s">
        <v>949</v>
      </c>
      <c r="F29" s="71"/>
      <c r="G29" s="118"/>
      <c r="H29" s="118"/>
      <c r="I29" s="118"/>
      <c r="J29" s="71"/>
    </row>
    <row r="30" spans="1:10" ht="18">
      <c r="A30" s="119"/>
      <c r="B30" s="118"/>
      <c r="C30" s="115"/>
      <c r="D30" s="474"/>
      <c r="E30" s="17"/>
      <c r="F30" s="17"/>
      <c r="G30" s="17"/>
    </row>
    <row r="31" spans="1:10" s="479" customFormat="1" ht="20.25" customHeight="1">
      <c r="A31" s="119" t="s">
        <v>141</v>
      </c>
    </row>
    <row r="32" spans="1:10" s="479" customFormat="1" ht="15" customHeight="1"/>
    <row r="33" spans="1:5" s="479" customFormat="1" ht="158.4">
      <c r="B33" s="125" t="s">
        <v>760</v>
      </c>
      <c r="C33" s="501" t="s">
        <v>632</v>
      </c>
    </row>
    <row r="34" spans="1:5" s="479" customFormat="1" ht="17.25" customHeight="1"/>
    <row r="35" spans="1:5" s="479" customFormat="1" ht="16.5" customHeight="1">
      <c r="B35" s="789" t="s">
        <v>762</v>
      </c>
      <c r="C35" s="481" t="s">
        <v>763</v>
      </c>
    </row>
    <row r="36" spans="1:5" s="479" customFormat="1" ht="15" customHeight="1">
      <c r="B36" s="790"/>
    </row>
    <row r="37" spans="1:5" s="479" customFormat="1" ht="15" customHeight="1">
      <c r="B37" s="790"/>
    </row>
    <row r="38" spans="1:5" s="479" customFormat="1" ht="15" customHeight="1">
      <c r="B38" s="791"/>
      <c r="C38" s="482"/>
    </row>
    <row r="39" spans="1:5" s="479" customFormat="1" ht="15" customHeight="1"/>
    <row r="40" spans="1:5" s="479" customFormat="1" ht="13.5" customHeight="1">
      <c r="B40" s="789" t="s">
        <v>764</v>
      </c>
    </row>
    <row r="41" spans="1:5" s="479" customFormat="1">
      <c r="B41" s="790"/>
    </row>
    <row r="42" spans="1:5" s="479" customFormat="1">
      <c r="B42" s="791"/>
    </row>
    <row r="43" spans="1:5" s="479" customFormat="1"/>
    <row r="44" spans="1:5" s="479" customFormat="1"/>
    <row r="45" spans="1:5" s="479" customFormat="1" ht="16.2">
      <c r="A45" s="119" t="s">
        <v>765</v>
      </c>
    </row>
    <row r="46" spans="1:5" s="479" customFormat="1"/>
    <row r="47" spans="1:5" s="479" customFormat="1" ht="288.75" customHeight="1">
      <c r="B47" s="825" t="s">
        <v>607</v>
      </c>
      <c r="C47" s="825"/>
      <c r="D47" s="825"/>
      <c r="E47" s="502"/>
    </row>
    <row r="48" spans="1:5" s="479" customFormat="1" ht="15" customHeight="1"/>
    <row r="49" spans="1:7" s="479" customFormat="1" ht="15" customHeight="1">
      <c r="A49" s="119" t="s">
        <v>766</v>
      </c>
    </row>
    <row r="50" spans="1:7" s="479" customFormat="1" ht="15" customHeight="1"/>
    <row r="51" spans="1:7" s="479" customFormat="1" ht="361.5" customHeight="1">
      <c r="B51" s="877" t="s">
        <v>608</v>
      </c>
      <c r="C51" s="878"/>
      <c r="D51" s="878"/>
      <c r="E51" s="502"/>
    </row>
    <row r="52" spans="1:7" s="479" customFormat="1" ht="15" customHeight="1"/>
    <row r="53" spans="1:7" s="479" customFormat="1" ht="15" customHeight="1">
      <c r="A53" s="119" t="s">
        <v>767</v>
      </c>
    </row>
    <row r="54" spans="1:7" s="479" customFormat="1" ht="15" customHeight="1"/>
    <row r="55" spans="1:7" s="479" customFormat="1" ht="158.25" customHeight="1">
      <c r="B55" s="503" t="s">
        <v>950</v>
      </c>
      <c r="C55" s="502"/>
      <c r="D55" s="502"/>
      <c r="E55" s="502"/>
    </row>
    <row r="56" spans="1:7" s="479" customFormat="1"/>
    <row r="57" spans="1:7" s="479" customFormat="1">
      <c r="A57" s="119" t="s">
        <v>142</v>
      </c>
    </row>
    <row r="58" spans="1:7" s="479" customFormat="1"/>
    <row r="59" spans="1:7" s="479" customFormat="1" ht="15" customHeight="1">
      <c r="B59" s="786" t="s">
        <v>769</v>
      </c>
      <c r="C59" s="786" t="s">
        <v>143</v>
      </c>
      <c r="D59" s="786" t="s">
        <v>799</v>
      </c>
      <c r="E59" s="786" t="s">
        <v>75</v>
      </c>
      <c r="F59" s="786" t="s">
        <v>800</v>
      </c>
      <c r="G59" s="470" t="s">
        <v>770</v>
      </c>
    </row>
    <row r="60" spans="1:7" s="479" customFormat="1">
      <c r="B60" s="787"/>
      <c r="C60" s="787"/>
      <c r="D60" s="787"/>
      <c r="E60" s="787"/>
      <c r="F60" s="787"/>
      <c r="G60" s="470" t="str">
        <f>C14</f>
        <v>2029, շարունակական</v>
      </c>
    </row>
    <row r="61" spans="1:7">
      <c r="B61" s="485" t="s">
        <v>951</v>
      </c>
      <c r="C61" s="661"/>
      <c r="D61" s="662">
        <v>1</v>
      </c>
      <c r="E61" s="662">
        <v>1</v>
      </c>
      <c r="F61" s="663">
        <v>1</v>
      </c>
      <c r="G61" s="664" t="s">
        <v>630</v>
      </c>
    </row>
    <row r="62" spans="1:7">
      <c r="B62" s="485" t="s">
        <v>952</v>
      </c>
      <c r="C62" s="661"/>
      <c r="D62" s="662">
        <v>1</v>
      </c>
      <c r="E62" s="662">
        <v>1</v>
      </c>
      <c r="F62" s="663">
        <v>1</v>
      </c>
      <c r="G62" s="664"/>
    </row>
    <row r="63" spans="1:7">
      <c r="B63" s="135"/>
      <c r="C63" s="136"/>
      <c r="D63" s="139"/>
      <c r="E63" s="139"/>
      <c r="F63" s="140"/>
      <c r="G63" s="504"/>
    </row>
    <row r="64" spans="1:7">
      <c r="A64" t="s">
        <v>803</v>
      </c>
      <c r="B64" s="135"/>
      <c r="C64" s="136"/>
      <c r="D64" s="139"/>
      <c r="E64" s="139"/>
      <c r="F64" s="140"/>
      <c r="G64" s="504"/>
    </row>
    <row r="65" spans="1:7">
      <c r="B65" s="136"/>
      <c r="C65" s="136"/>
      <c r="D65" s="136"/>
      <c r="E65" s="136"/>
      <c r="F65" s="136"/>
      <c r="G65" s="504"/>
    </row>
    <row r="66" spans="1:7">
      <c r="B66" s="479"/>
    </row>
    <row r="67" spans="1:7">
      <c r="A67" s="119" t="s">
        <v>144</v>
      </c>
      <c r="B67" s="479"/>
    </row>
    <row r="68" spans="1:7">
      <c r="B68" s="479"/>
    </row>
    <row r="69" spans="1:7" ht="14.4">
      <c r="B69" s="786" t="s">
        <v>776</v>
      </c>
      <c r="C69" s="786" t="s">
        <v>777</v>
      </c>
      <c r="D69" s="786" t="s">
        <v>799</v>
      </c>
      <c r="E69" s="786" t="s">
        <v>75</v>
      </c>
      <c r="F69" s="786" t="s">
        <v>800</v>
      </c>
      <c r="G69" s="470" t="s">
        <v>146</v>
      </c>
    </row>
    <row r="70" spans="1:7" ht="14.4">
      <c r="B70" s="787"/>
      <c r="C70" s="787"/>
      <c r="D70" s="787"/>
      <c r="E70" s="787"/>
      <c r="F70" s="787"/>
      <c r="G70" s="470" t="str">
        <f>C14</f>
        <v>2029, շարունակական</v>
      </c>
    </row>
    <row r="71" spans="1:7" ht="35.4" customHeight="1">
      <c r="B71" s="487" t="s">
        <v>953</v>
      </c>
      <c r="C71" s="489" t="s">
        <v>10</v>
      </c>
      <c r="D71" s="506">
        <v>21000</v>
      </c>
      <c r="E71" s="506">
        <v>21000</v>
      </c>
      <c r="F71" s="506">
        <v>21000</v>
      </c>
      <c r="G71" s="665"/>
    </row>
    <row r="72" spans="1:7" ht="35.4" customHeight="1">
      <c r="B72" s="487" t="s">
        <v>954</v>
      </c>
      <c r="C72" s="489" t="s">
        <v>39</v>
      </c>
      <c r="D72" s="506">
        <v>35000</v>
      </c>
      <c r="E72" s="506">
        <v>35000</v>
      </c>
      <c r="F72" s="506">
        <v>35000</v>
      </c>
      <c r="G72" s="665"/>
    </row>
    <row r="73" spans="1:7">
      <c r="B73" s="487" t="s">
        <v>955</v>
      </c>
      <c r="C73" s="489" t="s">
        <v>10</v>
      </c>
      <c r="D73" s="506">
        <v>3750</v>
      </c>
      <c r="E73" s="506">
        <v>3750</v>
      </c>
      <c r="F73" s="506">
        <v>3750</v>
      </c>
      <c r="G73" s="665"/>
    </row>
    <row r="74" spans="1:7">
      <c r="B74" s="666" t="s">
        <v>784</v>
      </c>
      <c r="C74" s="489"/>
      <c r="D74" s="667">
        <v>1000</v>
      </c>
      <c r="E74" s="667">
        <v>1000</v>
      </c>
      <c r="F74" s="667">
        <v>1000</v>
      </c>
      <c r="G74" s="665"/>
    </row>
    <row r="75" spans="1:7" ht="14.4">
      <c r="B75" s="142" t="s">
        <v>9</v>
      </c>
      <c r="C75" s="142" t="s">
        <v>10</v>
      </c>
      <c r="D75" s="508">
        <f>SUM(D71:D74)</f>
        <v>60750</v>
      </c>
      <c r="E75" s="508">
        <f>SUM(E71:E74)</f>
        <v>60750</v>
      </c>
      <c r="F75" s="508">
        <f>SUM(F71:F74)</f>
        <v>60750</v>
      </c>
      <c r="G75" s="142">
        <f>SUM(G71:G74)</f>
        <v>0</v>
      </c>
    </row>
    <row r="76" spans="1:7" ht="14.4">
      <c r="B76"/>
    </row>
    <row r="77" spans="1:7">
      <c r="A77" s="119" t="s">
        <v>147</v>
      </c>
      <c r="B77"/>
    </row>
    <row r="78" spans="1:7" ht="14.4">
      <c r="B78"/>
    </row>
    <row r="79" spans="1:7" ht="14.4">
      <c r="B79" s="786" t="s">
        <v>785</v>
      </c>
      <c r="C79" s="786" t="s">
        <v>777</v>
      </c>
      <c r="D79" s="786" t="s">
        <v>799</v>
      </c>
      <c r="E79" s="786" t="s">
        <v>72</v>
      </c>
      <c r="F79" s="786" t="s">
        <v>800</v>
      </c>
      <c r="G79" s="470" t="s">
        <v>146</v>
      </c>
    </row>
    <row r="80" spans="1:7" ht="14.4">
      <c r="B80" s="787"/>
      <c r="C80" s="787"/>
      <c r="D80" s="787"/>
      <c r="E80" s="787"/>
      <c r="F80" s="787"/>
      <c r="G80" s="470" t="str">
        <f>C14</f>
        <v>2029, շարունակական</v>
      </c>
    </row>
    <row r="81" spans="1:7">
      <c r="B81" s="469" t="s">
        <v>148</v>
      </c>
      <c r="C81" s="143" t="s">
        <v>10</v>
      </c>
      <c r="D81" s="509">
        <f>D75</f>
        <v>60750</v>
      </c>
      <c r="E81" s="509">
        <f>E75</f>
        <v>60750</v>
      </c>
      <c r="F81" s="509">
        <f>F75</f>
        <v>60750</v>
      </c>
      <c r="G81" s="142">
        <f>G75</f>
        <v>0</v>
      </c>
    </row>
    <row r="82" spans="1:7">
      <c r="B82" s="144" t="s">
        <v>149</v>
      </c>
      <c r="C82" s="143" t="s">
        <v>10</v>
      </c>
      <c r="D82" s="510">
        <f>D75</f>
        <v>60750</v>
      </c>
      <c r="E82" s="510">
        <f>E75</f>
        <v>60750</v>
      </c>
      <c r="F82" s="510">
        <f>F75</f>
        <v>60750</v>
      </c>
      <c r="G82" s="483"/>
    </row>
    <row r="83" spans="1:7" ht="15" customHeight="1">
      <c r="B83" s="145" t="s">
        <v>150</v>
      </c>
      <c r="C83" s="143" t="s">
        <v>10</v>
      </c>
      <c r="D83" s="510"/>
      <c r="E83" s="510"/>
      <c r="F83" s="511"/>
      <c r="G83" s="483"/>
    </row>
    <row r="84" spans="1:7">
      <c r="B84" s="144" t="s">
        <v>151</v>
      </c>
      <c r="C84" s="143" t="s">
        <v>10</v>
      </c>
      <c r="D84" s="509">
        <f>SUM(D85:D86)</f>
        <v>0</v>
      </c>
      <c r="E84" s="509">
        <f t="shared" ref="E84:G84" si="0">SUM(E85:E86)</f>
        <v>0</v>
      </c>
      <c r="F84" s="509">
        <f t="shared" si="0"/>
        <v>0</v>
      </c>
      <c r="G84" s="142">
        <f t="shared" si="0"/>
        <v>0</v>
      </c>
    </row>
    <row r="85" spans="1:7">
      <c r="B85" s="136"/>
      <c r="C85" s="143" t="s">
        <v>10</v>
      </c>
      <c r="D85" s="510"/>
      <c r="E85" s="510"/>
      <c r="F85" s="511"/>
      <c r="G85" s="483"/>
    </row>
    <row r="86" spans="1:7">
      <c r="B86" s="136"/>
      <c r="C86" s="143" t="s">
        <v>10</v>
      </c>
      <c r="D86" s="510"/>
      <c r="E86" s="510"/>
      <c r="F86" s="511"/>
      <c r="G86" s="483"/>
    </row>
    <row r="87" spans="1:7" ht="15.75" customHeight="1">
      <c r="B87" s="469" t="s">
        <v>152</v>
      </c>
      <c r="C87" s="143" t="s">
        <v>10</v>
      </c>
      <c r="D87" s="509">
        <f>D81-D84-D83</f>
        <v>60750</v>
      </c>
      <c r="E87" s="509">
        <f t="shared" ref="E87:G87" si="1">E81-E84-E83</f>
        <v>60750</v>
      </c>
      <c r="F87" s="509">
        <f t="shared" si="1"/>
        <v>60750</v>
      </c>
      <c r="G87" s="142">
        <f t="shared" si="1"/>
        <v>0</v>
      </c>
    </row>
    <row r="88" spans="1:7" ht="14.4">
      <c r="B88"/>
    </row>
    <row r="89" spans="1:7" ht="19.5" customHeight="1">
      <c r="A89" s="119" t="s">
        <v>185</v>
      </c>
      <c r="B89"/>
    </row>
    <row r="90" spans="1:7" ht="21" customHeight="1">
      <c r="B90"/>
    </row>
    <row r="91" spans="1:7" ht="16.2">
      <c r="B91" s="469" t="s">
        <v>786</v>
      </c>
      <c r="C91" s="783"/>
      <c r="D91" s="784"/>
      <c r="E91" s="785"/>
    </row>
    <row r="92" spans="1:7" ht="14.4">
      <c r="B92"/>
    </row>
    <row r="93" spans="1:7" ht="16.2">
      <c r="A93" s="119" t="s">
        <v>788</v>
      </c>
      <c r="B93" s="154"/>
    </row>
    <row r="94" spans="1:7" ht="14.4">
      <c r="B94"/>
    </row>
    <row r="95" spans="1:7" ht="14.4">
      <c r="B95" s="469" t="s">
        <v>186</v>
      </c>
      <c r="C95" s="783"/>
      <c r="D95" s="784"/>
      <c r="E95" s="785"/>
    </row>
    <row r="96" spans="1:7" ht="14.4">
      <c r="B96" s="469" t="s">
        <v>187</v>
      </c>
      <c r="C96" s="783"/>
      <c r="D96" s="784"/>
      <c r="E96" s="785"/>
    </row>
    <row r="97" spans="1:5" ht="24.75" customHeight="1">
      <c r="A97" s="119" t="s">
        <v>789</v>
      </c>
      <c r="B97"/>
    </row>
    <row r="98" spans="1:5" ht="14.4">
      <c r="B98"/>
    </row>
    <row r="99" spans="1:5" ht="14.4">
      <c r="B99" s="783"/>
      <c r="C99" s="784"/>
      <c r="D99" s="784"/>
      <c r="E99" s="785"/>
    </row>
  </sheetData>
  <mergeCells count="23">
    <mergeCell ref="F79:F80"/>
    <mergeCell ref="C91:E91"/>
    <mergeCell ref="C95:E95"/>
    <mergeCell ref="C96:E96"/>
    <mergeCell ref="B99:E99"/>
    <mergeCell ref="B79:B80"/>
    <mergeCell ref="C79:C80"/>
    <mergeCell ref="D79:D80"/>
    <mergeCell ref="E79:E80"/>
    <mergeCell ref="F59:F60"/>
    <mergeCell ref="B69:B70"/>
    <mergeCell ref="C69:C70"/>
    <mergeCell ref="D69:D70"/>
    <mergeCell ref="E69:E70"/>
    <mergeCell ref="F69:F70"/>
    <mergeCell ref="E59:E60"/>
    <mergeCell ref="B35:B38"/>
    <mergeCell ref="B40:B42"/>
    <mergeCell ref="B47:D47"/>
    <mergeCell ref="B51:D51"/>
    <mergeCell ref="B59:B60"/>
    <mergeCell ref="C59:C60"/>
    <mergeCell ref="D59:D60"/>
  </mergeCells>
  <dataValidations count="3">
    <dataValidation type="list" allowBlank="1" showInputMessage="1" showErrorMessage="1" sqref="B29">
      <formula1>$J$2:$J$4</formula1>
    </dataValidation>
    <dataValidation type="list" allowBlank="1" showInputMessage="1" showErrorMessage="1" sqref="C20:C21 C24">
      <formula1>$H$2:$H$4</formula1>
    </dataValidation>
    <dataValidation type="list" allowBlank="1" showInputMessage="1" showErrorMessage="1" sqref="C23">
      <formula1>$I$2:$I$3</formula1>
    </dataValidation>
  </dataValidations>
  <hyperlinks>
    <hyperlink ref="C26" location="_ftn1" display="_ftn1"/>
    <hyperlink ref="D26" location="_ftn2" display="_ftn2"/>
    <hyperlink ref="E26" location="_ftn3" display="_ftn3"/>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2465" r:id="rId4" name="Check Box 1">
              <controlPr defaultSize="0" autoFill="0" autoLine="0" autoPict="0">
                <anchor moveWithCells="1">
                  <from>
                    <xdr:col>2</xdr:col>
                    <xdr:colOff>99060</xdr:colOff>
                    <xdr:row>32</xdr:row>
                    <xdr:rowOff>0</xdr:rowOff>
                  </from>
                  <to>
                    <xdr:col>3</xdr:col>
                    <xdr:colOff>1524000</xdr:colOff>
                    <xdr:row>32</xdr:row>
                    <xdr:rowOff>2080260</xdr:rowOff>
                  </to>
                </anchor>
              </controlPr>
            </control>
          </mc:Choice>
        </mc:AlternateContent>
        <mc:AlternateContent xmlns:mc="http://schemas.openxmlformats.org/markup-compatibility/2006">
          <mc:Choice Requires="x14">
            <control shapeId="62466" r:id="rId5" name="Check Box 2">
              <controlPr defaultSize="0" autoFill="0" autoLine="0" autoPict="0">
                <anchor moveWithCells="1">
                  <from>
                    <xdr:col>2</xdr:col>
                    <xdr:colOff>99060</xdr:colOff>
                    <xdr:row>34</xdr:row>
                    <xdr:rowOff>0</xdr:rowOff>
                  </from>
                  <to>
                    <xdr:col>4</xdr:col>
                    <xdr:colOff>381000</xdr:colOff>
                    <xdr:row>34</xdr:row>
                    <xdr:rowOff>160020</xdr:rowOff>
                  </to>
                </anchor>
              </controlPr>
            </control>
          </mc:Choice>
        </mc:AlternateContent>
        <mc:AlternateContent xmlns:mc="http://schemas.openxmlformats.org/markup-compatibility/2006">
          <mc:Choice Requires="x14">
            <control shapeId="62467" r:id="rId6" name="Check Box 3">
              <controlPr defaultSize="0" autoFill="0" autoLine="0" autoPict="0">
                <anchor moveWithCells="1">
                  <from>
                    <xdr:col>2</xdr:col>
                    <xdr:colOff>99060</xdr:colOff>
                    <xdr:row>32</xdr:row>
                    <xdr:rowOff>182880</xdr:rowOff>
                  </from>
                  <to>
                    <xdr:col>4</xdr:col>
                    <xdr:colOff>1341120</xdr:colOff>
                    <xdr:row>33</xdr:row>
                    <xdr:rowOff>76200</xdr:rowOff>
                  </to>
                </anchor>
              </controlPr>
            </control>
          </mc:Choice>
        </mc:AlternateContent>
        <mc:AlternateContent xmlns:mc="http://schemas.openxmlformats.org/markup-compatibility/2006">
          <mc:Choice Requires="x14">
            <control shapeId="62468" r:id="rId7" name="Check Box 4">
              <controlPr defaultSize="0" autoFill="0" autoLine="0" autoPict="0">
                <anchor moveWithCells="1">
                  <from>
                    <xdr:col>2</xdr:col>
                    <xdr:colOff>38100</xdr:colOff>
                    <xdr:row>36</xdr:row>
                    <xdr:rowOff>30480</xdr:rowOff>
                  </from>
                  <to>
                    <xdr:col>16</xdr:col>
                    <xdr:colOff>182880</xdr:colOff>
                    <xdr:row>36</xdr:row>
                    <xdr:rowOff>160020</xdr:rowOff>
                  </to>
                </anchor>
              </controlPr>
            </control>
          </mc:Choice>
        </mc:AlternateContent>
        <mc:AlternateContent xmlns:mc="http://schemas.openxmlformats.org/markup-compatibility/2006">
          <mc:Choice Requires="x14">
            <control shapeId="62469" r:id="rId8" name="Check Box 5">
              <controlPr defaultSize="0" autoFill="0" autoLine="0" autoPict="0">
                <anchor moveWithCells="1">
                  <from>
                    <xdr:col>2</xdr:col>
                    <xdr:colOff>45720</xdr:colOff>
                    <xdr:row>37</xdr:row>
                    <xdr:rowOff>30480</xdr:rowOff>
                  </from>
                  <to>
                    <xdr:col>16</xdr:col>
                    <xdr:colOff>571500</xdr:colOff>
                    <xdr:row>38</xdr:row>
                    <xdr:rowOff>0</xdr:rowOff>
                  </to>
                </anchor>
              </controlPr>
            </control>
          </mc:Choice>
        </mc:AlternateContent>
        <mc:AlternateContent xmlns:mc="http://schemas.openxmlformats.org/markup-compatibility/2006">
          <mc:Choice Requires="x14">
            <control shapeId="62470" r:id="rId9" name="Check Box 6">
              <controlPr defaultSize="0" autoFill="0" autoLine="0" autoPict="0">
                <anchor moveWithCells="1">
                  <from>
                    <xdr:col>2</xdr:col>
                    <xdr:colOff>45720</xdr:colOff>
                    <xdr:row>38</xdr:row>
                    <xdr:rowOff>7620</xdr:rowOff>
                  </from>
                  <to>
                    <xdr:col>14</xdr:col>
                    <xdr:colOff>487680</xdr:colOff>
                    <xdr:row>39</xdr:row>
                    <xdr:rowOff>0</xdr:rowOff>
                  </to>
                </anchor>
              </controlPr>
            </control>
          </mc:Choice>
        </mc:AlternateContent>
        <mc:AlternateContent xmlns:mc="http://schemas.openxmlformats.org/markup-compatibility/2006">
          <mc:Choice Requires="x14">
            <control shapeId="62471" r:id="rId10" name="Check Box 7">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62472" r:id="rId11" name="Check Box 8">
              <controlPr defaultSize="0" autoFill="0" autoLine="0" autoPict="0">
                <anchor moveWithCells="1">
                  <from>
                    <xdr:col>2</xdr:col>
                    <xdr:colOff>99060</xdr:colOff>
                    <xdr:row>32</xdr:row>
                    <xdr:rowOff>0</xdr:rowOff>
                  </from>
                  <to>
                    <xdr:col>3</xdr:col>
                    <xdr:colOff>1524000</xdr:colOff>
                    <xdr:row>32</xdr:row>
                    <xdr:rowOff>2080260</xdr:rowOff>
                  </to>
                </anchor>
              </controlPr>
            </control>
          </mc:Choice>
        </mc:AlternateContent>
        <mc:AlternateContent xmlns:mc="http://schemas.openxmlformats.org/markup-compatibility/2006">
          <mc:Choice Requires="x14">
            <control shapeId="62473" r:id="rId12" name="Check Box 9">
              <controlPr defaultSize="0" autoFill="0" autoLine="0" autoPict="0">
                <anchor moveWithCells="1">
                  <from>
                    <xdr:col>2</xdr:col>
                    <xdr:colOff>99060</xdr:colOff>
                    <xdr:row>34</xdr:row>
                    <xdr:rowOff>0</xdr:rowOff>
                  </from>
                  <to>
                    <xdr:col>4</xdr:col>
                    <xdr:colOff>381000</xdr:colOff>
                    <xdr:row>34</xdr:row>
                    <xdr:rowOff>160020</xdr:rowOff>
                  </to>
                </anchor>
              </controlPr>
            </control>
          </mc:Choice>
        </mc:AlternateContent>
        <mc:AlternateContent xmlns:mc="http://schemas.openxmlformats.org/markup-compatibility/2006">
          <mc:Choice Requires="x14">
            <control shapeId="62474" r:id="rId13" name="Check Box 10">
              <controlPr defaultSize="0" autoFill="0" autoLine="0" autoPict="0">
                <anchor moveWithCells="1">
                  <from>
                    <xdr:col>2</xdr:col>
                    <xdr:colOff>99060</xdr:colOff>
                    <xdr:row>32</xdr:row>
                    <xdr:rowOff>182880</xdr:rowOff>
                  </from>
                  <to>
                    <xdr:col>4</xdr:col>
                    <xdr:colOff>1341120</xdr:colOff>
                    <xdr:row>33</xdr:row>
                    <xdr:rowOff>76200</xdr:rowOff>
                  </to>
                </anchor>
              </controlPr>
            </control>
          </mc:Choice>
        </mc:AlternateContent>
        <mc:AlternateContent xmlns:mc="http://schemas.openxmlformats.org/markup-compatibility/2006">
          <mc:Choice Requires="x14">
            <control shapeId="62475" r:id="rId14" name="Check Box 11">
              <controlPr defaultSize="0" autoFill="0" autoLine="0" autoPict="0">
                <anchor moveWithCells="1">
                  <from>
                    <xdr:col>2</xdr:col>
                    <xdr:colOff>45720</xdr:colOff>
                    <xdr:row>38</xdr:row>
                    <xdr:rowOff>7620</xdr:rowOff>
                  </from>
                  <to>
                    <xdr:col>14</xdr:col>
                    <xdr:colOff>487680</xdr:colOff>
                    <xdr:row>39</xdr:row>
                    <xdr:rowOff>0</xdr:rowOff>
                  </to>
                </anchor>
              </controlPr>
            </control>
          </mc:Choice>
        </mc:AlternateContent>
        <mc:AlternateContent xmlns:mc="http://schemas.openxmlformats.org/markup-compatibility/2006">
          <mc:Choice Requires="x14">
            <control shapeId="62476" r:id="rId15" name="Check Box 12">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62477" r:id="rId16" name="Check Box 13">
              <controlPr defaultSize="0" autoFill="0" autoLine="0" autoPict="0">
                <anchor moveWithCells="1">
                  <from>
                    <xdr:col>2</xdr:col>
                    <xdr:colOff>99060</xdr:colOff>
                    <xdr:row>32</xdr:row>
                    <xdr:rowOff>0</xdr:rowOff>
                  </from>
                  <to>
                    <xdr:col>3</xdr:col>
                    <xdr:colOff>1524000</xdr:colOff>
                    <xdr:row>32</xdr:row>
                    <xdr:rowOff>2080260</xdr:rowOff>
                  </to>
                </anchor>
              </controlPr>
            </control>
          </mc:Choice>
        </mc:AlternateContent>
        <mc:AlternateContent xmlns:mc="http://schemas.openxmlformats.org/markup-compatibility/2006">
          <mc:Choice Requires="x14">
            <control shapeId="62478" r:id="rId17" name="Check Box 14">
              <controlPr defaultSize="0" autoFill="0" autoLine="0" autoPict="0">
                <anchor moveWithCells="1">
                  <from>
                    <xdr:col>2</xdr:col>
                    <xdr:colOff>99060</xdr:colOff>
                    <xdr:row>34</xdr:row>
                    <xdr:rowOff>0</xdr:rowOff>
                  </from>
                  <to>
                    <xdr:col>4</xdr:col>
                    <xdr:colOff>381000</xdr:colOff>
                    <xdr:row>34</xdr:row>
                    <xdr:rowOff>160020</xdr:rowOff>
                  </to>
                </anchor>
              </controlPr>
            </control>
          </mc:Choice>
        </mc:AlternateContent>
        <mc:AlternateContent xmlns:mc="http://schemas.openxmlformats.org/markup-compatibility/2006">
          <mc:Choice Requires="x14">
            <control shapeId="62479" r:id="rId18" name="Check Box 15">
              <controlPr defaultSize="0" autoFill="0" autoLine="0" autoPict="0">
                <anchor moveWithCells="1">
                  <from>
                    <xdr:col>2</xdr:col>
                    <xdr:colOff>99060</xdr:colOff>
                    <xdr:row>32</xdr:row>
                    <xdr:rowOff>182880</xdr:rowOff>
                  </from>
                  <to>
                    <xdr:col>4</xdr:col>
                    <xdr:colOff>1341120</xdr:colOff>
                    <xdr:row>33</xdr:row>
                    <xdr:rowOff>76200</xdr:rowOff>
                  </to>
                </anchor>
              </controlPr>
            </control>
          </mc:Choice>
        </mc:AlternateContent>
        <mc:AlternateContent xmlns:mc="http://schemas.openxmlformats.org/markup-compatibility/2006">
          <mc:Choice Requires="x14">
            <control shapeId="62480" r:id="rId19" name="Check Box 16">
              <controlPr defaultSize="0" autoFill="0" autoLine="0" autoPict="0">
                <anchor moveWithCells="1">
                  <from>
                    <xdr:col>2</xdr:col>
                    <xdr:colOff>38100</xdr:colOff>
                    <xdr:row>36</xdr:row>
                    <xdr:rowOff>30480</xdr:rowOff>
                  </from>
                  <to>
                    <xdr:col>16</xdr:col>
                    <xdr:colOff>182880</xdr:colOff>
                    <xdr:row>36</xdr:row>
                    <xdr:rowOff>160020</xdr:rowOff>
                  </to>
                </anchor>
              </controlPr>
            </control>
          </mc:Choice>
        </mc:AlternateContent>
        <mc:AlternateContent xmlns:mc="http://schemas.openxmlformats.org/markup-compatibility/2006">
          <mc:Choice Requires="x14">
            <control shapeId="62481" r:id="rId20" name="Check Box 17">
              <controlPr defaultSize="0" autoFill="0" autoLine="0" autoPict="0">
                <anchor moveWithCells="1">
                  <from>
                    <xdr:col>2</xdr:col>
                    <xdr:colOff>45720</xdr:colOff>
                    <xdr:row>37</xdr:row>
                    <xdr:rowOff>30480</xdr:rowOff>
                  </from>
                  <to>
                    <xdr:col>16</xdr:col>
                    <xdr:colOff>571500</xdr:colOff>
                    <xdr:row>38</xdr:row>
                    <xdr:rowOff>0</xdr:rowOff>
                  </to>
                </anchor>
              </controlPr>
            </control>
          </mc:Choice>
        </mc:AlternateContent>
        <mc:AlternateContent xmlns:mc="http://schemas.openxmlformats.org/markup-compatibility/2006">
          <mc:Choice Requires="x14">
            <control shapeId="62482" r:id="rId21" name="Check Box 18">
              <controlPr defaultSize="0" autoFill="0" autoLine="0" autoPict="0">
                <anchor moveWithCells="1">
                  <from>
                    <xdr:col>2</xdr:col>
                    <xdr:colOff>45720</xdr:colOff>
                    <xdr:row>38</xdr:row>
                    <xdr:rowOff>7620</xdr:rowOff>
                  </from>
                  <to>
                    <xdr:col>14</xdr:col>
                    <xdr:colOff>487680</xdr:colOff>
                    <xdr:row>39</xdr:row>
                    <xdr:rowOff>0</xdr:rowOff>
                  </to>
                </anchor>
              </controlPr>
            </control>
          </mc:Choice>
        </mc:AlternateContent>
        <mc:AlternateContent xmlns:mc="http://schemas.openxmlformats.org/markup-compatibility/2006">
          <mc:Choice Requires="x14">
            <control shapeId="62483" r:id="rId22" name="Check Box 19">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62484" r:id="rId23" name="Check Box 20">
              <controlPr defaultSize="0" autoFill="0" autoLine="0" autoPict="0">
                <anchor moveWithCells="1">
                  <from>
                    <xdr:col>2</xdr:col>
                    <xdr:colOff>99060</xdr:colOff>
                    <xdr:row>32</xdr:row>
                    <xdr:rowOff>0</xdr:rowOff>
                  </from>
                  <to>
                    <xdr:col>3</xdr:col>
                    <xdr:colOff>1524000</xdr:colOff>
                    <xdr:row>32</xdr:row>
                    <xdr:rowOff>2080260</xdr:rowOff>
                  </to>
                </anchor>
              </controlPr>
            </control>
          </mc:Choice>
        </mc:AlternateContent>
        <mc:AlternateContent xmlns:mc="http://schemas.openxmlformats.org/markup-compatibility/2006">
          <mc:Choice Requires="x14">
            <control shapeId="62485" r:id="rId24" name="Check Box 21">
              <controlPr defaultSize="0" autoFill="0" autoLine="0" autoPict="0">
                <anchor moveWithCells="1">
                  <from>
                    <xdr:col>2</xdr:col>
                    <xdr:colOff>99060</xdr:colOff>
                    <xdr:row>34</xdr:row>
                    <xdr:rowOff>0</xdr:rowOff>
                  </from>
                  <to>
                    <xdr:col>4</xdr:col>
                    <xdr:colOff>381000</xdr:colOff>
                    <xdr:row>34</xdr:row>
                    <xdr:rowOff>160020</xdr:rowOff>
                  </to>
                </anchor>
              </controlPr>
            </control>
          </mc:Choice>
        </mc:AlternateContent>
        <mc:AlternateContent xmlns:mc="http://schemas.openxmlformats.org/markup-compatibility/2006">
          <mc:Choice Requires="x14">
            <control shapeId="62486" r:id="rId25" name="Check Box 22">
              <controlPr defaultSize="0" autoFill="0" autoLine="0" autoPict="0">
                <anchor moveWithCells="1">
                  <from>
                    <xdr:col>2</xdr:col>
                    <xdr:colOff>99060</xdr:colOff>
                    <xdr:row>32</xdr:row>
                    <xdr:rowOff>182880</xdr:rowOff>
                  </from>
                  <to>
                    <xdr:col>4</xdr:col>
                    <xdr:colOff>1341120</xdr:colOff>
                    <xdr:row>33</xdr:row>
                    <xdr:rowOff>76200</xdr:rowOff>
                  </to>
                </anchor>
              </controlPr>
            </control>
          </mc:Choice>
        </mc:AlternateContent>
        <mc:AlternateContent xmlns:mc="http://schemas.openxmlformats.org/markup-compatibility/2006">
          <mc:Choice Requires="x14">
            <control shapeId="62487" r:id="rId26" name="Check Box 23">
              <controlPr defaultSize="0" autoFill="0" autoLine="0" autoPict="0">
                <anchor moveWithCells="1">
                  <from>
                    <xdr:col>2</xdr:col>
                    <xdr:colOff>45720</xdr:colOff>
                    <xdr:row>38</xdr:row>
                    <xdr:rowOff>7620</xdr:rowOff>
                  </from>
                  <to>
                    <xdr:col>14</xdr:col>
                    <xdr:colOff>487680</xdr:colOff>
                    <xdr:row>39</xdr:row>
                    <xdr:rowOff>0</xdr:rowOff>
                  </to>
                </anchor>
              </controlPr>
            </control>
          </mc:Choice>
        </mc:AlternateContent>
        <mc:AlternateContent xmlns:mc="http://schemas.openxmlformats.org/markup-compatibility/2006">
          <mc:Choice Requires="x14">
            <control shapeId="62488" r:id="rId27" name="Check Box 24">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62489" r:id="rId28" name="Check Box 25">
              <controlPr defaultSize="0" autoFill="0" autoLine="0" autoPict="0">
                <anchor moveWithCells="1">
                  <from>
                    <xdr:col>2</xdr:col>
                    <xdr:colOff>83820</xdr:colOff>
                    <xdr:row>34</xdr:row>
                    <xdr:rowOff>7620</xdr:rowOff>
                  </from>
                  <to>
                    <xdr:col>4</xdr:col>
                    <xdr:colOff>723900</xdr:colOff>
                    <xdr:row>35</xdr:row>
                    <xdr:rowOff>38100</xdr:rowOff>
                  </to>
                </anchor>
              </controlPr>
            </control>
          </mc:Choice>
        </mc:AlternateContent>
        <mc:AlternateContent xmlns:mc="http://schemas.openxmlformats.org/markup-compatibility/2006">
          <mc:Choice Requires="x14">
            <control shapeId="62490" r:id="rId29" name="Check Box 26">
              <controlPr defaultSize="0" autoFill="0" autoLine="0" autoPict="0">
                <anchor moveWithCells="1">
                  <from>
                    <xdr:col>2</xdr:col>
                    <xdr:colOff>99060</xdr:colOff>
                    <xdr:row>35</xdr:row>
                    <xdr:rowOff>0</xdr:rowOff>
                  </from>
                  <to>
                    <xdr:col>3</xdr:col>
                    <xdr:colOff>1562100</xdr:colOff>
                    <xdr:row>36</xdr:row>
                    <xdr:rowOff>7620</xdr:rowOff>
                  </to>
                </anchor>
              </controlPr>
            </control>
          </mc:Choice>
        </mc:AlternateContent>
        <mc:AlternateContent xmlns:mc="http://schemas.openxmlformats.org/markup-compatibility/2006">
          <mc:Choice Requires="x14">
            <control shapeId="62491" r:id="rId30" name="Check Box 27">
              <controlPr defaultSize="0" autoFill="0" autoLine="0" autoPict="0">
                <anchor moveWithCells="1">
                  <from>
                    <xdr:col>2</xdr:col>
                    <xdr:colOff>99060</xdr:colOff>
                    <xdr:row>37</xdr:row>
                    <xdr:rowOff>0</xdr:rowOff>
                  </from>
                  <to>
                    <xdr:col>4</xdr:col>
                    <xdr:colOff>381000</xdr:colOff>
                    <xdr:row>37</xdr:row>
                    <xdr:rowOff>160020</xdr:rowOff>
                  </to>
                </anchor>
              </controlPr>
            </control>
          </mc:Choice>
        </mc:AlternateContent>
        <mc:AlternateContent xmlns:mc="http://schemas.openxmlformats.org/markup-compatibility/2006">
          <mc:Choice Requires="x14">
            <control shapeId="62492" r:id="rId31" name="Check Box 28">
              <controlPr defaultSize="0" autoFill="0" autoLine="0" autoPict="0">
                <anchor moveWithCells="1">
                  <from>
                    <xdr:col>2</xdr:col>
                    <xdr:colOff>99060</xdr:colOff>
                    <xdr:row>35</xdr:row>
                    <xdr:rowOff>182880</xdr:rowOff>
                  </from>
                  <to>
                    <xdr:col>4</xdr:col>
                    <xdr:colOff>1295400</xdr:colOff>
                    <xdr:row>37</xdr:row>
                    <xdr:rowOff>22860</xdr:rowOff>
                  </to>
                </anchor>
              </controlPr>
            </control>
          </mc:Choice>
        </mc:AlternateContent>
        <mc:AlternateContent xmlns:mc="http://schemas.openxmlformats.org/markup-compatibility/2006">
          <mc:Choice Requires="x14">
            <control shapeId="62493" r:id="rId32" name="Check Box 29">
              <controlPr defaultSize="0" autoFill="0" autoLine="0" autoPict="0">
                <anchor moveWithCells="1">
                  <from>
                    <xdr:col>2</xdr:col>
                    <xdr:colOff>38100</xdr:colOff>
                    <xdr:row>39</xdr:row>
                    <xdr:rowOff>30480</xdr:rowOff>
                  </from>
                  <to>
                    <xdr:col>16</xdr:col>
                    <xdr:colOff>304800</xdr:colOff>
                    <xdr:row>39</xdr:row>
                    <xdr:rowOff>160020</xdr:rowOff>
                  </to>
                </anchor>
              </controlPr>
            </control>
          </mc:Choice>
        </mc:AlternateContent>
        <mc:AlternateContent xmlns:mc="http://schemas.openxmlformats.org/markup-compatibility/2006">
          <mc:Choice Requires="x14">
            <control shapeId="62494" r:id="rId33" name="Check Box 30">
              <controlPr defaultSize="0" autoFill="0" autoLine="0" autoPict="0">
                <anchor moveWithCells="1">
                  <from>
                    <xdr:col>2</xdr:col>
                    <xdr:colOff>45720</xdr:colOff>
                    <xdr:row>40</xdr:row>
                    <xdr:rowOff>30480</xdr:rowOff>
                  </from>
                  <to>
                    <xdr:col>16</xdr:col>
                    <xdr:colOff>541020</xdr:colOff>
                    <xdr:row>41</xdr:row>
                    <xdr:rowOff>0</xdr:rowOff>
                  </to>
                </anchor>
              </controlPr>
            </control>
          </mc:Choice>
        </mc:AlternateContent>
        <mc:AlternateContent xmlns:mc="http://schemas.openxmlformats.org/markup-compatibility/2006">
          <mc:Choice Requires="x14">
            <control shapeId="62495" r:id="rId34" name="Check Box 31">
              <controlPr defaultSize="0" autoFill="0" autoLine="0" autoPict="0">
                <anchor moveWithCells="1">
                  <from>
                    <xdr:col>2</xdr:col>
                    <xdr:colOff>45720</xdr:colOff>
                    <xdr:row>41</xdr:row>
                    <xdr:rowOff>7620</xdr:rowOff>
                  </from>
                  <to>
                    <xdr:col>14</xdr:col>
                    <xdr:colOff>563880</xdr:colOff>
                    <xdr:row>42</xdr:row>
                    <xdr:rowOff>0</xdr:rowOff>
                  </to>
                </anchor>
              </controlPr>
            </control>
          </mc:Choice>
        </mc:AlternateContent>
        <mc:AlternateContent xmlns:mc="http://schemas.openxmlformats.org/markup-compatibility/2006">
          <mc:Choice Requires="x14">
            <control shapeId="62496" r:id="rId35" name="Check Box 32">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tabSelected="1" topLeftCell="F9" workbookViewId="0">
      <selection activeCell="N9" sqref="N9"/>
    </sheetView>
  </sheetViews>
  <sheetFormatPr defaultColWidth="9.109375" defaultRowHeight="15.6"/>
  <cols>
    <col min="1" max="1" width="9.109375" style="71"/>
    <col min="2" max="2" width="13.5546875" style="71" customWidth="1"/>
    <col min="3" max="3" width="15.77734375" style="71" customWidth="1"/>
    <col min="4" max="4" width="10.88671875" style="71" customWidth="1"/>
    <col min="5" max="5" width="11.44140625" style="71" customWidth="1"/>
    <col min="6" max="6" width="9" style="71" customWidth="1"/>
    <col min="7" max="7" width="8.5546875" style="71" customWidth="1"/>
    <col min="8" max="8" width="10.6640625" style="71" customWidth="1"/>
    <col min="9" max="9" width="11.44140625" style="71" customWidth="1"/>
    <col min="10" max="10" width="16.88671875" style="71" customWidth="1"/>
    <col min="11" max="11" width="16.44140625" style="71" customWidth="1"/>
    <col min="12" max="15" width="20.109375" style="71" customWidth="1"/>
    <col min="16" max="16" width="26.109375" style="71" customWidth="1"/>
    <col min="17" max="17" width="18.109375" style="71" customWidth="1"/>
    <col min="18" max="18" width="15.33203125" style="71" customWidth="1"/>
    <col min="19" max="19" width="15.6640625" style="71" customWidth="1"/>
    <col min="20" max="20" width="10.6640625" style="71" customWidth="1"/>
    <col min="21" max="21" width="11.44140625" style="71" customWidth="1"/>
    <col min="22" max="22" width="9.109375" style="71"/>
    <col min="23" max="23" width="14.88671875" style="71" hidden="1" customWidth="1"/>
    <col min="24" max="16384" width="9.109375" style="71"/>
  </cols>
  <sheetData>
    <row r="1" spans="1:16">
      <c r="A1" s="2" t="s">
        <v>176</v>
      </c>
    </row>
    <row r="2" spans="1:16" ht="18">
      <c r="A2" s="118"/>
    </row>
    <row r="3" spans="1:16">
      <c r="A3" s="2" t="s">
        <v>268</v>
      </c>
    </row>
    <row r="5" spans="1:16" ht="28.2" customHeight="1">
      <c r="B5" s="119" t="s">
        <v>730</v>
      </c>
      <c r="E5" s="71" t="s">
        <v>640</v>
      </c>
    </row>
    <row r="7" spans="1:16" ht="42" customHeight="1">
      <c r="B7" s="779" t="s">
        <v>5</v>
      </c>
      <c r="C7" s="779"/>
      <c r="D7" s="775" t="s">
        <v>124</v>
      </c>
      <c r="E7" s="775"/>
      <c r="F7" s="780" t="s">
        <v>123</v>
      </c>
      <c r="G7" s="781"/>
      <c r="H7" s="782"/>
      <c r="I7" s="773" t="s">
        <v>175</v>
      </c>
      <c r="J7" s="773" t="s">
        <v>174</v>
      </c>
      <c r="K7" s="773" t="s">
        <v>180</v>
      </c>
      <c r="L7" s="773" t="s">
        <v>181</v>
      </c>
      <c r="M7" s="775" t="s">
        <v>122</v>
      </c>
      <c r="N7" s="773" t="s">
        <v>121</v>
      </c>
      <c r="O7" s="773" t="s">
        <v>173</v>
      </c>
      <c r="P7" s="775" t="s">
        <v>183</v>
      </c>
    </row>
    <row r="8" spans="1:16" ht="22.5" customHeight="1">
      <c r="B8" s="467" t="s">
        <v>1</v>
      </c>
      <c r="C8" s="467" t="s">
        <v>20</v>
      </c>
      <c r="D8" s="465" t="s">
        <v>120</v>
      </c>
      <c r="E8" s="467" t="s">
        <v>20</v>
      </c>
      <c r="F8" s="467" t="s">
        <v>54</v>
      </c>
      <c r="G8" s="467" t="s">
        <v>72</v>
      </c>
      <c r="H8" s="467" t="s">
        <v>97</v>
      </c>
      <c r="I8" s="774"/>
      <c r="J8" s="774"/>
      <c r="K8" s="774"/>
      <c r="L8" s="774"/>
      <c r="M8" s="775"/>
      <c r="N8" s="774"/>
      <c r="O8" s="774"/>
      <c r="P8" s="775"/>
    </row>
    <row r="9" spans="1:16" ht="409.6">
      <c r="B9" s="468" t="s">
        <v>731</v>
      </c>
      <c r="C9" s="468" t="s">
        <v>1125</v>
      </c>
      <c r="D9" s="468" t="s">
        <v>731</v>
      </c>
      <c r="E9" s="468" t="s">
        <v>732</v>
      </c>
      <c r="F9" s="468" t="s">
        <v>733</v>
      </c>
      <c r="G9" s="468"/>
      <c r="H9" s="468"/>
      <c r="I9" s="468" t="s">
        <v>732</v>
      </c>
      <c r="J9" s="468" t="s">
        <v>734</v>
      </c>
      <c r="K9" s="468"/>
      <c r="L9" s="468" t="s">
        <v>735</v>
      </c>
      <c r="M9" s="468">
        <v>2027</v>
      </c>
      <c r="N9" s="767" t="s">
        <v>723</v>
      </c>
      <c r="O9" s="468" t="s">
        <v>736</v>
      </c>
      <c r="P9" s="468" t="s">
        <v>737</v>
      </c>
    </row>
    <row r="10" spans="1:16">
      <c r="B10" s="70"/>
      <c r="C10" s="70"/>
      <c r="D10" s="70"/>
      <c r="E10" s="70"/>
      <c r="F10" s="70"/>
      <c r="G10" s="70"/>
      <c r="H10" s="70"/>
      <c r="I10" s="70"/>
      <c r="J10" s="70"/>
      <c r="K10" s="70"/>
      <c r="L10" s="70"/>
      <c r="M10" s="70"/>
      <c r="N10" s="70"/>
      <c r="O10" s="70"/>
      <c r="P10" s="70"/>
    </row>
    <row r="11" spans="1:16">
      <c r="B11" s="70"/>
      <c r="C11" s="70"/>
      <c r="D11" s="70"/>
      <c r="E11" s="70"/>
      <c r="F11" s="70"/>
      <c r="G11" s="70"/>
      <c r="H11" s="70"/>
      <c r="I11" s="70"/>
      <c r="J11" s="70"/>
      <c r="K11" s="70"/>
      <c r="L11" s="70"/>
      <c r="M11" s="70"/>
      <c r="N11" s="70"/>
      <c r="O11" s="70"/>
      <c r="P11" s="70"/>
    </row>
    <row r="12" spans="1:16">
      <c r="B12" s="70" t="s">
        <v>119</v>
      </c>
      <c r="C12" s="70"/>
      <c r="D12" s="70"/>
      <c r="E12" s="70"/>
      <c r="F12" s="151"/>
      <c r="G12" s="151"/>
      <c r="H12" s="151"/>
      <c r="I12" s="70"/>
      <c r="J12" s="70"/>
      <c r="K12" s="151"/>
      <c r="L12" s="151"/>
      <c r="M12" s="151"/>
      <c r="N12" s="151"/>
      <c r="O12" s="151"/>
      <c r="P12" s="70"/>
    </row>
    <row r="13" spans="1:16" ht="26.25" customHeight="1">
      <c r="B13" s="70" t="s">
        <v>9</v>
      </c>
      <c r="C13" s="70"/>
      <c r="D13" s="70"/>
      <c r="E13" s="70"/>
      <c r="F13" s="151"/>
      <c r="G13" s="151"/>
      <c r="H13" s="151"/>
      <c r="I13" s="70"/>
      <c r="J13" s="70"/>
      <c r="K13" s="151"/>
      <c r="L13" s="151"/>
      <c r="M13" s="151"/>
      <c r="N13" s="151"/>
      <c r="O13" s="151"/>
      <c r="P13" s="70"/>
    </row>
    <row r="14" spans="1:16" ht="16.5" hidden="1" customHeight="1">
      <c r="B14" s="776" t="s">
        <v>9</v>
      </c>
      <c r="C14" s="777"/>
      <c r="D14" s="777"/>
      <c r="E14" s="778"/>
      <c r="F14" s="466">
        <f>SUM(F9:F13)</f>
        <v>0</v>
      </c>
      <c r="G14" s="466">
        <f>SUM(G9:G13)</f>
        <v>0</v>
      </c>
      <c r="H14" s="466">
        <f>SUM(H9:H13)</f>
        <v>0</v>
      </c>
      <c r="I14" s="117" t="s">
        <v>39</v>
      </c>
      <c r="J14" s="117" t="s">
        <v>39</v>
      </c>
      <c r="K14" s="117" t="s">
        <v>39</v>
      </c>
      <c r="L14" s="117" t="s">
        <v>39</v>
      </c>
      <c r="M14" s="117"/>
      <c r="N14" s="117"/>
      <c r="O14" s="117"/>
      <c r="P14" s="117" t="s">
        <v>39</v>
      </c>
    </row>
    <row r="17" spans="1:6">
      <c r="B17" s="384" t="s">
        <v>189</v>
      </c>
      <c r="C17" s="152"/>
      <c r="D17" s="152"/>
      <c r="E17" s="152"/>
      <c r="F17" s="152"/>
    </row>
    <row r="18" spans="1:6">
      <c r="B18" s="153" t="s">
        <v>177</v>
      </c>
      <c r="C18" s="152"/>
      <c r="D18" s="152"/>
      <c r="E18" s="152"/>
      <c r="F18" s="152"/>
    </row>
    <row r="19" spans="1:6">
      <c r="A19" s="158" t="s">
        <v>119</v>
      </c>
      <c r="B19" s="153" t="s">
        <v>178</v>
      </c>
      <c r="C19" s="152"/>
      <c r="D19" s="152"/>
      <c r="E19" s="152"/>
      <c r="F19" s="152"/>
    </row>
    <row r="20" spans="1:6">
      <c r="C20" s="152"/>
      <c r="D20" s="152"/>
      <c r="E20" s="152"/>
      <c r="F20" s="152"/>
    </row>
  </sheetData>
  <mergeCells count="12">
    <mergeCell ref="J7:J8"/>
    <mergeCell ref="K7:K8"/>
    <mergeCell ref="B14:E14"/>
    <mergeCell ref="B7:C7"/>
    <mergeCell ref="D7:E7"/>
    <mergeCell ref="F7:H7"/>
    <mergeCell ref="I7:I8"/>
    <mergeCell ref="L7:L8"/>
    <mergeCell ref="M7:M8"/>
    <mergeCell ref="N7:N8"/>
    <mergeCell ref="O7:O8"/>
    <mergeCell ref="P7:P8"/>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workbookViewId="0">
      <selection activeCell="I9" sqref="I9"/>
    </sheetView>
  </sheetViews>
  <sheetFormatPr defaultColWidth="9.109375" defaultRowHeight="15.6"/>
  <cols>
    <col min="1" max="1" width="9.109375" style="71"/>
    <col min="2" max="2" width="13.5546875" style="71" customWidth="1"/>
    <col min="3" max="3" width="11.44140625" style="71" customWidth="1"/>
    <col min="4" max="4" width="21.33203125" style="71" customWidth="1"/>
    <col min="5" max="5" width="21.5546875" style="71" customWidth="1"/>
    <col min="6" max="6" width="9" style="71" customWidth="1"/>
    <col min="7" max="7" width="8.5546875" style="71" customWidth="1"/>
    <col min="8" max="8" width="10.6640625" style="71" customWidth="1"/>
    <col min="9" max="9" width="37.33203125" style="71" customWidth="1"/>
    <col min="10" max="10" width="158.109375" style="71" customWidth="1"/>
    <col min="11" max="11" width="16.44140625" style="71" customWidth="1"/>
    <col min="12" max="15" width="20.109375" style="71" customWidth="1"/>
    <col min="16" max="16" width="26.109375" style="71" customWidth="1"/>
    <col min="17" max="17" width="18.109375" style="71" customWidth="1"/>
    <col min="18" max="18" width="15.33203125" style="71" customWidth="1"/>
    <col min="19" max="19" width="15.6640625" style="71" customWidth="1"/>
    <col min="20" max="20" width="10.6640625" style="71" customWidth="1"/>
    <col min="21" max="21" width="11.44140625" style="71" customWidth="1"/>
    <col min="22" max="22" width="9.109375" style="71"/>
    <col min="23" max="23" width="14.88671875" style="71" hidden="1" customWidth="1"/>
    <col min="24" max="16384" width="9.109375" style="71"/>
  </cols>
  <sheetData>
    <row r="1" spans="1:16">
      <c r="A1" s="2" t="s">
        <v>176</v>
      </c>
    </row>
    <row r="2" spans="1:16" ht="18">
      <c r="A2" s="118"/>
    </row>
    <row r="3" spans="1:16">
      <c r="A3" s="2" t="s">
        <v>268</v>
      </c>
    </row>
    <row r="5" spans="1:16">
      <c r="B5" s="119" t="s">
        <v>725</v>
      </c>
      <c r="E5" s="811" t="s">
        <v>640</v>
      </c>
      <c r="F5" s="811"/>
      <c r="G5" s="811"/>
      <c r="H5" s="811"/>
      <c r="I5" s="811"/>
    </row>
    <row r="7" spans="1:16" ht="42" customHeight="1">
      <c r="B7" s="779" t="s">
        <v>5</v>
      </c>
      <c r="C7" s="779"/>
      <c r="D7" s="775" t="s">
        <v>124</v>
      </c>
      <c r="E7" s="775"/>
      <c r="F7" s="780" t="s">
        <v>123</v>
      </c>
      <c r="G7" s="781"/>
      <c r="H7" s="782"/>
      <c r="I7" s="773" t="s">
        <v>175</v>
      </c>
      <c r="J7" s="773" t="s">
        <v>174</v>
      </c>
      <c r="K7" s="773" t="s">
        <v>180</v>
      </c>
      <c r="L7" s="773" t="s">
        <v>181</v>
      </c>
      <c r="M7" s="775" t="s">
        <v>122</v>
      </c>
      <c r="N7" s="773" t="s">
        <v>121</v>
      </c>
      <c r="O7" s="773" t="s">
        <v>173</v>
      </c>
      <c r="P7" s="775" t="s">
        <v>183</v>
      </c>
    </row>
    <row r="8" spans="1:16" ht="22.5" customHeight="1">
      <c r="B8" s="354" t="s">
        <v>1</v>
      </c>
      <c r="C8" s="354" t="s">
        <v>20</v>
      </c>
      <c r="D8" s="353" t="s">
        <v>120</v>
      </c>
      <c r="E8" s="354" t="s">
        <v>20</v>
      </c>
      <c r="F8" s="354" t="s">
        <v>54</v>
      </c>
      <c r="G8" s="354" t="s">
        <v>72</v>
      </c>
      <c r="H8" s="354" t="s">
        <v>97</v>
      </c>
      <c r="I8" s="774"/>
      <c r="J8" s="774"/>
      <c r="K8" s="774"/>
      <c r="L8" s="774"/>
      <c r="M8" s="775"/>
      <c r="N8" s="774"/>
      <c r="O8" s="774"/>
      <c r="P8" s="775"/>
    </row>
    <row r="9" spans="1:16" ht="409.6">
      <c r="B9" s="355">
        <v>1016</v>
      </c>
      <c r="C9" s="355">
        <v>11004</v>
      </c>
      <c r="D9" s="360" t="s">
        <v>625</v>
      </c>
      <c r="E9" s="360" t="s">
        <v>611</v>
      </c>
      <c r="F9" s="359">
        <v>31000</v>
      </c>
      <c r="G9" s="359">
        <v>31000</v>
      </c>
      <c r="H9" s="359">
        <v>31000</v>
      </c>
      <c r="I9" s="360" t="s">
        <v>633</v>
      </c>
      <c r="J9" s="360" t="s">
        <v>610</v>
      </c>
      <c r="K9" s="355"/>
      <c r="L9" s="360" t="s">
        <v>634</v>
      </c>
      <c r="M9" s="355">
        <v>2027</v>
      </c>
      <c r="N9" s="355" t="s">
        <v>587</v>
      </c>
      <c r="O9" s="355"/>
      <c r="P9" s="355"/>
    </row>
    <row r="10" spans="1:16">
      <c r="B10" s="70" t="s">
        <v>9</v>
      </c>
      <c r="C10" s="70"/>
      <c r="D10" s="70"/>
      <c r="E10" s="70"/>
      <c r="F10" s="361">
        <f>F9</f>
        <v>31000</v>
      </c>
      <c r="G10" s="361">
        <f>G9</f>
        <v>31000</v>
      </c>
      <c r="H10" s="361">
        <f>H9</f>
        <v>31000</v>
      </c>
      <c r="I10" s="70"/>
      <c r="J10" s="70"/>
      <c r="K10" s="151"/>
      <c r="L10" s="151"/>
      <c r="M10" s="151"/>
      <c r="N10" s="151"/>
      <c r="O10" s="151"/>
      <c r="P10" s="70"/>
    </row>
    <row r="11" spans="1:16" hidden="1">
      <c r="B11" s="776" t="s">
        <v>9</v>
      </c>
      <c r="C11" s="777"/>
      <c r="D11" s="777"/>
      <c r="E11" s="778"/>
      <c r="F11" s="147">
        <f>SUM(F9:F10)</f>
        <v>62000</v>
      </c>
      <c r="G11" s="147">
        <f>SUM(G9:G10)</f>
        <v>62000</v>
      </c>
      <c r="H11" s="147">
        <f>SUM(H9:H10)</f>
        <v>62000</v>
      </c>
      <c r="I11" s="117" t="s">
        <v>39</v>
      </c>
      <c r="J11" s="117" t="s">
        <v>39</v>
      </c>
      <c r="K11" s="117" t="s">
        <v>39</v>
      </c>
      <c r="L11" s="117" t="s">
        <v>39</v>
      </c>
      <c r="M11" s="117"/>
      <c r="N11" s="117"/>
      <c r="O11" s="117"/>
      <c r="P11" s="117" t="s">
        <v>39</v>
      </c>
    </row>
    <row r="13" spans="1:16" ht="26.25" customHeight="1"/>
    <row r="14" spans="1:16" ht="15.6" hidden="1" customHeight="1"/>
  </sheetData>
  <mergeCells count="13">
    <mergeCell ref="O7:O8"/>
    <mergeCell ref="P7:P8"/>
    <mergeCell ref="B7:C7"/>
    <mergeCell ref="D7:E7"/>
    <mergeCell ref="F7:H7"/>
    <mergeCell ref="I7:I8"/>
    <mergeCell ref="J7:J8"/>
    <mergeCell ref="K7:K8"/>
    <mergeCell ref="B11:E11"/>
    <mergeCell ref="L7:L8"/>
    <mergeCell ref="M7:M8"/>
    <mergeCell ref="N7:N8"/>
    <mergeCell ref="E5:I5"/>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02"/>
  <sheetViews>
    <sheetView workbookViewId="0">
      <selection sqref="A1:XFD1048576"/>
    </sheetView>
  </sheetViews>
  <sheetFormatPr defaultColWidth="9.109375" defaultRowHeight="15"/>
  <cols>
    <col min="2" max="2" width="62.44140625" style="146" customWidth="1"/>
    <col min="3" max="3" width="36.109375" customWidth="1"/>
    <col min="4" max="4" width="63.88671875" customWidth="1"/>
    <col min="5" max="5" width="30.33203125" customWidth="1"/>
    <col min="6" max="6" width="15.6640625" customWidth="1"/>
    <col min="7" max="7" width="28.33203125" customWidth="1"/>
    <col min="8" max="8" width="4" hidden="1" customWidth="1"/>
    <col min="9" max="10" width="7.88671875" hidden="1" customWidth="1"/>
  </cols>
  <sheetData>
    <row r="1" spans="1:10" ht="18.600000000000001">
      <c r="A1" s="2" t="s">
        <v>739</v>
      </c>
      <c r="B1"/>
      <c r="C1" s="474"/>
      <c r="D1" s="474"/>
      <c r="E1" s="17"/>
      <c r="F1" s="17"/>
      <c r="H1" s="17" t="s">
        <v>125</v>
      </c>
      <c r="I1" s="17" t="s">
        <v>126</v>
      </c>
      <c r="J1" t="s">
        <v>127</v>
      </c>
    </row>
    <row r="2" spans="1:10" ht="18">
      <c r="A2" s="122"/>
      <c r="B2" s="118"/>
      <c r="C2" s="474"/>
      <c r="D2" s="474"/>
      <c r="E2" s="17"/>
      <c r="F2" s="17"/>
      <c r="H2" s="17" t="s">
        <v>128</v>
      </c>
      <c r="I2" t="s">
        <v>129</v>
      </c>
      <c r="J2" s="124" t="s">
        <v>130</v>
      </c>
    </row>
    <row r="3" spans="1:10" ht="18">
      <c r="A3" s="119" t="s">
        <v>131</v>
      </c>
      <c r="B3" s="118"/>
      <c r="C3" s="474"/>
      <c r="D3" s="474"/>
      <c r="E3" s="17"/>
      <c r="F3" s="17"/>
      <c r="H3" s="17" t="s">
        <v>132</v>
      </c>
      <c r="I3" t="s">
        <v>133</v>
      </c>
      <c r="J3" s="124" t="s">
        <v>134</v>
      </c>
    </row>
    <row r="4" spans="1:10" ht="18">
      <c r="A4" s="122"/>
      <c r="B4" s="118"/>
      <c r="C4" s="474"/>
      <c r="D4" s="474"/>
      <c r="E4" s="17"/>
      <c r="F4" s="17"/>
      <c r="H4" s="17" t="s">
        <v>135</v>
      </c>
      <c r="J4" s="124" t="s">
        <v>136</v>
      </c>
    </row>
    <row r="5" spans="1:10" ht="18">
      <c r="A5" s="122"/>
      <c r="B5" s="125" t="s">
        <v>741</v>
      </c>
      <c r="C5" s="126" t="s">
        <v>793</v>
      </c>
      <c r="D5" s="474"/>
      <c r="E5" s="17"/>
      <c r="F5" s="17"/>
      <c r="G5" s="17"/>
    </row>
    <row r="6" spans="1:10" ht="62.4" customHeight="1">
      <c r="A6" s="122"/>
      <c r="B6" s="125" t="s">
        <v>743</v>
      </c>
      <c r="C6" s="475"/>
      <c r="D6" s="474" t="s">
        <v>794</v>
      </c>
      <c r="E6" s="17"/>
      <c r="F6" s="17"/>
      <c r="G6" s="17"/>
    </row>
    <row r="7" spans="1:10" ht="18">
      <c r="A7" s="122"/>
      <c r="B7" s="118"/>
      <c r="C7" s="474"/>
      <c r="D7" s="474"/>
      <c r="E7" s="17"/>
      <c r="F7" s="17"/>
      <c r="G7" s="17"/>
    </row>
    <row r="8" spans="1:10" ht="18">
      <c r="A8" s="119" t="s">
        <v>137</v>
      </c>
      <c r="B8" s="118"/>
      <c r="C8" s="474"/>
      <c r="D8" s="474"/>
      <c r="E8" s="17"/>
      <c r="F8" s="17"/>
      <c r="G8" s="17"/>
    </row>
    <row r="9" spans="1:10" ht="18">
      <c r="A9" s="119"/>
      <c r="B9" s="118"/>
      <c r="C9" s="474"/>
      <c r="D9" s="474"/>
      <c r="E9" s="17"/>
      <c r="F9" s="17"/>
      <c r="G9" s="17"/>
    </row>
    <row r="10" spans="1:10" ht="18">
      <c r="A10" s="119"/>
      <c r="B10" s="125" t="s">
        <v>745</v>
      </c>
      <c r="C10" s="126" t="s">
        <v>625</v>
      </c>
      <c r="G10" s="17"/>
    </row>
    <row r="11" spans="1:10" ht="18">
      <c r="A11" s="119"/>
      <c r="B11" s="125" t="s">
        <v>746</v>
      </c>
      <c r="C11" s="126">
        <v>1016</v>
      </c>
      <c r="D11" s="474"/>
      <c r="G11" s="17"/>
    </row>
    <row r="12" spans="1:10" ht="18">
      <c r="A12" s="119"/>
      <c r="B12" s="127"/>
      <c r="C12" s="128"/>
      <c r="D12" s="474"/>
      <c r="E12" s="17"/>
      <c r="F12" s="17"/>
      <c r="G12" s="17"/>
    </row>
    <row r="13" spans="1:10" ht="18">
      <c r="A13" s="119"/>
      <c r="B13" s="125" t="s">
        <v>138</v>
      </c>
      <c r="C13" s="126">
        <v>2027</v>
      </c>
      <c r="D13" s="474"/>
      <c r="E13" s="17"/>
      <c r="F13" s="17"/>
      <c r="G13" s="17"/>
    </row>
    <row r="14" spans="1:10" ht="18">
      <c r="A14" s="119"/>
      <c r="B14" s="125" t="s">
        <v>748</v>
      </c>
      <c r="C14" s="126" t="s">
        <v>630</v>
      </c>
      <c r="D14" s="474"/>
      <c r="E14" s="17"/>
      <c r="F14" s="17"/>
      <c r="G14" s="17"/>
    </row>
    <row r="15" spans="1:10" ht="18">
      <c r="A15" s="119"/>
      <c r="B15" s="118"/>
      <c r="C15" s="115"/>
      <c r="D15" s="474"/>
      <c r="E15" s="17"/>
      <c r="F15" s="17"/>
      <c r="G15" s="17"/>
    </row>
    <row r="16" spans="1:10" ht="18">
      <c r="A16" s="119" t="s">
        <v>139</v>
      </c>
      <c r="B16" s="118"/>
      <c r="C16" s="115"/>
      <c r="D16" s="474"/>
      <c r="E16" s="17"/>
      <c r="F16" s="17"/>
      <c r="G16" s="17"/>
    </row>
    <row r="17" spans="1:10" ht="52.8">
      <c r="B17" s="125" t="s">
        <v>749</v>
      </c>
      <c r="C17" s="475" t="s">
        <v>611</v>
      </c>
      <c r="D17" s="474"/>
      <c r="E17" s="17"/>
      <c r="F17" s="17"/>
      <c r="G17" s="17"/>
    </row>
    <row r="18" spans="1:10" ht="18">
      <c r="A18" s="119"/>
      <c r="B18" s="125" t="s">
        <v>750</v>
      </c>
      <c r="C18" s="498"/>
      <c r="D18" s="474"/>
      <c r="E18" s="17"/>
      <c r="F18" s="17"/>
      <c r="G18" s="17"/>
    </row>
    <row r="19" spans="1:10" ht="18">
      <c r="A19" s="119"/>
      <c r="B19" s="474"/>
      <c r="C19" s="474"/>
      <c r="D19" s="474"/>
      <c r="E19" s="17"/>
      <c r="F19" s="17"/>
      <c r="G19" s="17"/>
    </row>
    <row r="20" spans="1:10" ht="26.25" customHeight="1">
      <c r="A20" s="119"/>
      <c r="B20" s="125" t="s">
        <v>751</v>
      </c>
      <c r="C20" s="129" t="s">
        <v>128</v>
      </c>
      <c r="F20" s="17"/>
      <c r="G20" s="17"/>
    </row>
    <row r="21" spans="1:10" ht="18">
      <c r="A21" s="119"/>
      <c r="B21"/>
      <c r="C21" s="130"/>
      <c r="F21" s="17"/>
      <c r="G21" s="17"/>
    </row>
    <row r="22" spans="1:10" ht="18">
      <c r="A22" s="119"/>
      <c r="B22" s="118"/>
      <c r="C22" s="115"/>
      <c r="D22" s="474"/>
      <c r="E22" s="17"/>
      <c r="F22" s="17"/>
      <c r="G22" s="17"/>
    </row>
    <row r="23" spans="1:10" ht="18">
      <c r="A23" s="119"/>
      <c r="B23" s="125" t="s">
        <v>752</v>
      </c>
      <c r="C23" s="129" t="s">
        <v>129</v>
      </c>
      <c r="F23" s="17"/>
      <c r="G23" s="17"/>
    </row>
    <row r="24" spans="1:10" ht="18">
      <c r="A24" s="119"/>
      <c r="B24"/>
      <c r="C24" s="130"/>
      <c r="D24" s="474"/>
      <c r="E24" s="17"/>
      <c r="F24" s="17"/>
      <c r="G24" s="17"/>
    </row>
    <row r="25" spans="1:10" ht="18">
      <c r="A25" s="119"/>
      <c r="B25" s="118"/>
      <c r="C25" s="115"/>
      <c r="D25" s="474"/>
      <c r="E25" s="17"/>
      <c r="F25" s="17"/>
      <c r="G25" s="17"/>
    </row>
    <row r="26" spans="1:10" ht="15.75" customHeight="1">
      <c r="A26" s="119" t="s">
        <v>140</v>
      </c>
      <c r="B26"/>
      <c r="C26" s="118"/>
      <c r="D26" s="118"/>
      <c r="E26" s="118"/>
      <c r="F26" s="118"/>
      <c r="G26" s="118"/>
      <c r="H26" s="118"/>
      <c r="I26" s="118"/>
      <c r="J26" s="118"/>
    </row>
    <row r="27" spans="1:10" ht="18">
      <c r="B27" s="118"/>
      <c r="C27" s="118"/>
      <c r="D27" s="118"/>
      <c r="E27" s="118"/>
      <c r="F27" s="118"/>
      <c r="G27" s="118"/>
      <c r="H27" s="118"/>
      <c r="I27" s="118"/>
      <c r="J27" s="118"/>
    </row>
    <row r="28" spans="1:10" ht="40.200000000000003">
      <c r="B28" s="131" t="s">
        <v>753</v>
      </c>
      <c r="C28" s="131" t="s">
        <v>754</v>
      </c>
      <c r="D28" s="131" t="s">
        <v>755</v>
      </c>
      <c r="E28" s="131" t="s">
        <v>756</v>
      </c>
      <c r="F28" s="118"/>
      <c r="G28" s="118"/>
      <c r="H28" s="118"/>
      <c r="I28" s="118"/>
      <c r="J28" s="118"/>
    </row>
    <row r="29" spans="1:10" ht="409.6">
      <c r="B29" s="499" t="s">
        <v>130</v>
      </c>
      <c r="C29" s="500" t="s">
        <v>796</v>
      </c>
      <c r="D29" s="500" t="s">
        <v>758</v>
      </c>
      <c r="E29" s="500" t="s">
        <v>797</v>
      </c>
      <c r="F29" s="71"/>
      <c r="G29" s="118"/>
      <c r="H29" s="118"/>
      <c r="I29" s="118"/>
      <c r="J29" s="71"/>
    </row>
    <row r="30" spans="1:10" ht="18">
      <c r="A30" s="119"/>
      <c r="B30" s="118"/>
      <c r="C30" s="115"/>
      <c r="D30" s="474"/>
      <c r="E30" s="17"/>
      <c r="F30" s="17"/>
      <c r="G30" s="17"/>
    </row>
    <row r="31" spans="1:10" s="479" customFormat="1" ht="20.25" customHeight="1">
      <c r="A31" s="119" t="s">
        <v>141</v>
      </c>
    </row>
    <row r="32" spans="1:10" s="479" customFormat="1" ht="15" customHeight="1"/>
    <row r="33" spans="1:5" s="479" customFormat="1" ht="132">
      <c r="B33" s="125" t="s">
        <v>760</v>
      </c>
      <c r="C33" s="501" t="s">
        <v>633</v>
      </c>
    </row>
    <row r="34" spans="1:5" s="479" customFormat="1" ht="17.25" customHeight="1"/>
    <row r="35" spans="1:5" s="479" customFormat="1" ht="16.5" customHeight="1">
      <c r="B35" s="789" t="s">
        <v>762</v>
      </c>
      <c r="C35" s="481" t="s">
        <v>763</v>
      </c>
    </row>
    <row r="36" spans="1:5" s="479" customFormat="1" ht="15" customHeight="1">
      <c r="B36" s="790"/>
    </row>
    <row r="37" spans="1:5" s="479" customFormat="1" ht="15" customHeight="1">
      <c r="B37" s="790"/>
    </row>
    <row r="38" spans="1:5" s="479" customFormat="1" ht="15" customHeight="1">
      <c r="B38" s="791"/>
      <c r="C38" s="482"/>
    </row>
    <row r="39" spans="1:5" s="479" customFormat="1" ht="15" customHeight="1"/>
    <row r="40" spans="1:5" s="479" customFormat="1" ht="13.5" customHeight="1">
      <c r="B40" s="789" t="s">
        <v>764</v>
      </c>
    </row>
    <row r="41" spans="1:5" s="479" customFormat="1">
      <c r="B41" s="790"/>
    </row>
    <row r="42" spans="1:5" s="479" customFormat="1">
      <c r="B42" s="791"/>
    </row>
    <row r="43" spans="1:5" s="479" customFormat="1"/>
    <row r="44" spans="1:5" s="479" customFormat="1"/>
    <row r="45" spans="1:5" s="479" customFormat="1" ht="16.2">
      <c r="A45" s="119" t="s">
        <v>765</v>
      </c>
    </row>
    <row r="46" spans="1:5" s="479" customFormat="1"/>
    <row r="47" spans="1:5" s="479" customFormat="1" ht="409.5" customHeight="1">
      <c r="B47" s="825" t="s">
        <v>956</v>
      </c>
      <c r="C47" s="825"/>
      <c r="D47" s="825"/>
      <c r="E47" s="502"/>
    </row>
    <row r="48" spans="1:5" s="479" customFormat="1" ht="15" customHeight="1"/>
    <row r="49" spans="1:7" s="479" customFormat="1" ht="15" customHeight="1">
      <c r="A49" s="119" t="s">
        <v>766</v>
      </c>
    </row>
    <row r="50" spans="1:7" s="479" customFormat="1" ht="15" customHeight="1"/>
    <row r="51" spans="1:7" s="479" customFormat="1" ht="132">
      <c r="B51" s="503" t="s">
        <v>634</v>
      </c>
      <c r="C51" s="502"/>
      <c r="D51" s="502"/>
      <c r="E51" s="502"/>
    </row>
    <row r="52" spans="1:7" s="479" customFormat="1" ht="15" customHeight="1"/>
    <row r="53" spans="1:7" s="479" customFormat="1" ht="15" customHeight="1">
      <c r="A53" s="119" t="s">
        <v>767</v>
      </c>
    </row>
    <row r="54" spans="1:7" s="479" customFormat="1" ht="15" customHeight="1"/>
    <row r="55" spans="1:7" s="479" customFormat="1" ht="167.25" customHeight="1">
      <c r="B55" s="503" t="s">
        <v>957</v>
      </c>
      <c r="C55" s="502"/>
      <c r="D55" s="502"/>
      <c r="E55" s="502"/>
    </row>
    <row r="56" spans="1:7" s="479" customFormat="1"/>
    <row r="57" spans="1:7" s="479" customFormat="1">
      <c r="A57" s="119" t="s">
        <v>142</v>
      </c>
    </row>
    <row r="58" spans="1:7" s="479" customFormat="1"/>
    <row r="59" spans="1:7" s="479" customFormat="1" ht="15" customHeight="1">
      <c r="B59" s="786" t="s">
        <v>769</v>
      </c>
      <c r="C59" s="786" t="s">
        <v>143</v>
      </c>
      <c r="D59" s="786" t="s">
        <v>799</v>
      </c>
      <c r="E59" s="786" t="s">
        <v>75</v>
      </c>
      <c r="F59" s="786" t="s">
        <v>800</v>
      </c>
      <c r="G59" s="470" t="s">
        <v>770</v>
      </c>
    </row>
    <row r="60" spans="1:7" s="479" customFormat="1">
      <c r="B60" s="787"/>
      <c r="C60" s="787"/>
      <c r="D60" s="787"/>
      <c r="E60" s="787"/>
      <c r="F60" s="787"/>
      <c r="G60" s="470" t="str">
        <f>C14</f>
        <v>2029, շարունակական</v>
      </c>
    </row>
    <row r="61" spans="1:7">
      <c r="B61" s="135" t="s">
        <v>958</v>
      </c>
      <c r="C61" s="136" t="s">
        <v>959</v>
      </c>
      <c r="D61" s="136">
        <v>2500</v>
      </c>
      <c r="E61" s="136">
        <v>2500</v>
      </c>
      <c r="F61" s="137">
        <v>2500</v>
      </c>
      <c r="G61" s="504" t="s">
        <v>630</v>
      </c>
    </row>
    <row r="62" spans="1:7">
      <c r="B62" s="135"/>
      <c r="C62" s="136"/>
      <c r="D62" s="136"/>
      <c r="E62" s="136"/>
      <c r="F62" s="137"/>
      <c r="G62" s="504"/>
    </row>
    <row r="63" spans="1:7">
      <c r="B63" s="135"/>
      <c r="C63" s="136"/>
      <c r="D63" s="136"/>
      <c r="E63" s="136"/>
      <c r="F63" s="137"/>
      <c r="G63" s="504"/>
    </row>
    <row r="64" spans="1:7">
      <c r="A64" t="s">
        <v>803</v>
      </c>
      <c r="B64" s="135"/>
      <c r="C64" s="136"/>
      <c r="D64" s="136"/>
      <c r="E64" s="136"/>
      <c r="F64" s="137"/>
      <c r="G64" s="504"/>
    </row>
    <row r="65" spans="1:7">
      <c r="B65" s="136"/>
      <c r="C65" s="136"/>
      <c r="D65" s="136"/>
      <c r="E65" s="136"/>
      <c r="F65" s="136"/>
      <c r="G65" s="504"/>
    </row>
    <row r="66" spans="1:7">
      <c r="B66" s="479"/>
    </row>
    <row r="67" spans="1:7">
      <c r="A67" s="119" t="s">
        <v>144</v>
      </c>
      <c r="B67" s="479"/>
    </row>
    <row r="68" spans="1:7">
      <c r="B68" s="479"/>
    </row>
    <row r="69" spans="1:7" ht="14.4">
      <c r="B69" s="786" t="s">
        <v>776</v>
      </c>
      <c r="C69" s="786" t="s">
        <v>777</v>
      </c>
      <c r="D69" s="786" t="s">
        <v>799</v>
      </c>
      <c r="E69" s="786" t="s">
        <v>75</v>
      </c>
      <c r="F69" s="786" t="s">
        <v>800</v>
      </c>
      <c r="G69" s="470" t="s">
        <v>146</v>
      </c>
    </row>
    <row r="70" spans="1:7" ht="14.4">
      <c r="B70" s="787"/>
      <c r="C70" s="787"/>
      <c r="D70" s="787"/>
      <c r="E70" s="787"/>
      <c r="F70" s="787"/>
      <c r="G70" s="470" t="str">
        <f>C14</f>
        <v>2029, շարունակական</v>
      </c>
    </row>
    <row r="71" spans="1:7" ht="35.4" customHeight="1">
      <c r="B71" s="487" t="s">
        <v>960</v>
      </c>
      <c r="C71" s="489" t="s">
        <v>10</v>
      </c>
      <c r="D71" s="506">
        <v>15000</v>
      </c>
      <c r="E71" s="506">
        <v>15000</v>
      </c>
      <c r="F71" s="506">
        <v>15000</v>
      </c>
      <c r="G71" s="473"/>
    </row>
    <row r="72" spans="1:7" ht="30">
      <c r="B72" s="487" t="s">
        <v>961</v>
      </c>
      <c r="C72" s="489" t="s">
        <v>10</v>
      </c>
      <c r="D72" s="506">
        <v>10000</v>
      </c>
      <c r="E72" s="506">
        <v>10000</v>
      </c>
      <c r="F72" s="506">
        <v>10000</v>
      </c>
      <c r="G72" s="473"/>
    </row>
    <row r="73" spans="1:7">
      <c r="B73" s="487" t="s">
        <v>962</v>
      </c>
      <c r="C73" s="489" t="s">
        <v>10</v>
      </c>
      <c r="D73" s="506">
        <v>3000</v>
      </c>
      <c r="E73" s="506">
        <v>3000</v>
      </c>
      <c r="F73" s="506">
        <v>3000</v>
      </c>
      <c r="G73" s="473"/>
    </row>
    <row r="74" spans="1:7">
      <c r="B74" s="487" t="s">
        <v>782</v>
      </c>
      <c r="C74" s="489" t="s">
        <v>10</v>
      </c>
      <c r="D74" s="506">
        <v>500</v>
      </c>
      <c r="E74" s="506">
        <v>500</v>
      </c>
      <c r="F74" s="506">
        <v>500</v>
      </c>
      <c r="G74" s="473"/>
    </row>
    <row r="75" spans="1:7">
      <c r="B75" s="487" t="s">
        <v>783</v>
      </c>
      <c r="C75" s="489" t="s">
        <v>10</v>
      </c>
      <c r="D75" s="506">
        <v>300</v>
      </c>
      <c r="E75" s="506">
        <v>300</v>
      </c>
      <c r="F75" s="506">
        <v>300</v>
      </c>
      <c r="G75" s="473"/>
    </row>
    <row r="76" spans="1:7">
      <c r="B76" s="487" t="s">
        <v>781</v>
      </c>
      <c r="C76" s="489" t="s">
        <v>10</v>
      </c>
      <c r="D76" s="506">
        <v>2000</v>
      </c>
      <c r="E76" s="506">
        <v>2000</v>
      </c>
      <c r="F76" s="506">
        <v>2000</v>
      </c>
      <c r="G76" s="473"/>
    </row>
    <row r="77" spans="1:7">
      <c r="B77" s="136" t="s">
        <v>784</v>
      </c>
      <c r="C77" s="489"/>
      <c r="D77" s="507">
        <v>200</v>
      </c>
      <c r="E77" s="507">
        <v>200</v>
      </c>
      <c r="F77" s="507">
        <v>200</v>
      </c>
      <c r="G77" s="473"/>
    </row>
    <row r="78" spans="1:7" ht="14.4">
      <c r="B78" s="142" t="s">
        <v>9</v>
      </c>
      <c r="C78" s="142" t="s">
        <v>10</v>
      </c>
      <c r="D78" s="508">
        <f>SUM(D71:D77)</f>
        <v>31000</v>
      </c>
      <c r="E78" s="508">
        <f>SUM(E71:E77)</f>
        <v>31000</v>
      </c>
      <c r="F78" s="509">
        <f>SUM(F71:F77)</f>
        <v>31000</v>
      </c>
      <c r="G78" s="142">
        <f>SUM(G71:G77)</f>
        <v>0</v>
      </c>
    </row>
    <row r="79" spans="1:7" ht="14.4">
      <c r="B79"/>
      <c r="D79" s="472"/>
      <c r="E79" s="472"/>
      <c r="F79" s="472"/>
    </row>
    <row r="80" spans="1:7">
      <c r="A80" s="119" t="s">
        <v>147</v>
      </c>
      <c r="B80"/>
      <c r="D80" s="472"/>
      <c r="E80" s="472"/>
      <c r="F80" s="472"/>
    </row>
    <row r="81" spans="1:7" ht="14.4">
      <c r="B81"/>
      <c r="D81" s="472"/>
      <c r="E81" s="472"/>
      <c r="F81" s="472"/>
    </row>
    <row r="82" spans="1:7" ht="14.4">
      <c r="B82" s="786" t="s">
        <v>785</v>
      </c>
      <c r="C82" s="786" t="s">
        <v>777</v>
      </c>
      <c r="D82" s="786" t="s">
        <v>799</v>
      </c>
      <c r="E82" s="786" t="s">
        <v>72</v>
      </c>
      <c r="F82" s="786" t="s">
        <v>800</v>
      </c>
      <c r="G82" s="470" t="s">
        <v>146</v>
      </c>
    </row>
    <row r="83" spans="1:7" ht="14.4">
      <c r="B83" s="787"/>
      <c r="C83" s="787"/>
      <c r="D83" s="787"/>
      <c r="E83" s="787"/>
      <c r="F83" s="787"/>
      <c r="G83" s="470" t="str">
        <f>C14</f>
        <v>2029, շարունակական</v>
      </c>
    </row>
    <row r="84" spans="1:7">
      <c r="B84" s="469" t="s">
        <v>148</v>
      </c>
      <c r="C84" s="143" t="s">
        <v>10</v>
      </c>
      <c r="D84" s="508">
        <f>D78</f>
        <v>31000</v>
      </c>
      <c r="E84" s="508">
        <f>E78</f>
        <v>31000</v>
      </c>
      <c r="F84" s="508">
        <f>F78</f>
        <v>31000</v>
      </c>
      <c r="G84" s="142">
        <f>G78</f>
        <v>0</v>
      </c>
    </row>
    <row r="85" spans="1:7">
      <c r="B85" s="144" t="s">
        <v>149</v>
      </c>
      <c r="C85" s="143" t="s">
        <v>10</v>
      </c>
      <c r="D85" s="507">
        <f>D78</f>
        <v>31000</v>
      </c>
      <c r="E85" s="507">
        <f>E78</f>
        <v>31000</v>
      </c>
      <c r="F85" s="507">
        <f>F78</f>
        <v>31000</v>
      </c>
      <c r="G85" s="483"/>
    </row>
    <row r="86" spans="1:7" ht="15" customHeight="1">
      <c r="B86" s="145" t="s">
        <v>150</v>
      </c>
      <c r="C86" s="143" t="s">
        <v>10</v>
      </c>
      <c r="D86" s="507"/>
      <c r="E86" s="507"/>
      <c r="F86" s="668"/>
      <c r="G86" s="483"/>
    </row>
    <row r="87" spans="1:7">
      <c r="B87" s="144" t="s">
        <v>151</v>
      </c>
      <c r="C87" s="143" t="s">
        <v>10</v>
      </c>
      <c r="D87" s="508">
        <f>SUM(D88:D89)</f>
        <v>0</v>
      </c>
      <c r="E87" s="508">
        <f t="shared" ref="E87:G87" si="0">SUM(E88:E89)</f>
        <v>0</v>
      </c>
      <c r="F87" s="508">
        <f t="shared" si="0"/>
        <v>0</v>
      </c>
      <c r="G87" s="142">
        <f t="shared" si="0"/>
        <v>0</v>
      </c>
    </row>
    <row r="88" spans="1:7">
      <c r="B88" s="136"/>
      <c r="C88" s="143" t="s">
        <v>10</v>
      </c>
      <c r="D88" s="507"/>
      <c r="E88" s="507"/>
      <c r="F88" s="668"/>
      <c r="G88" s="483"/>
    </row>
    <row r="89" spans="1:7">
      <c r="B89" s="136"/>
      <c r="C89" s="143" t="s">
        <v>10</v>
      </c>
      <c r="D89" s="507"/>
      <c r="E89" s="507"/>
      <c r="F89" s="668"/>
      <c r="G89" s="483"/>
    </row>
    <row r="90" spans="1:7" ht="15.75" customHeight="1">
      <c r="B90" s="469" t="s">
        <v>152</v>
      </c>
      <c r="C90" s="143" t="s">
        <v>10</v>
      </c>
      <c r="D90" s="508">
        <f>D84-D87-D86</f>
        <v>31000</v>
      </c>
      <c r="E90" s="508">
        <f t="shared" ref="E90:G90" si="1">E84-E87-E86</f>
        <v>31000</v>
      </c>
      <c r="F90" s="508">
        <f t="shared" si="1"/>
        <v>31000</v>
      </c>
      <c r="G90" s="142">
        <f t="shared" si="1"/>
        <v>0</v>
      </c>
    </row>
    <row r="91" spans="1:7" ht="14.4">
      <c r="B91"/>
    </row>
    <row r="92" spans="1:7" ht="19.5" customHeight="1">
      <c r="A92" s="119" t="s">
        <v>185</v>
      </c>
      <c r="B92"/>
    </row>
    <row r="93" spans="1:7" ht="21" customHeight="1">
      <c r="B93"/>
    </row>
    <row r="94" spans="1:7" ht="16.2">
      <c r="B94" s="469" t="s">
        <v>786</v>
      </c>
      <c r="C94" s="783"/>
      <c r="D94" s="784"/>
      <c r="E94" s="785"/>
    </row>
    <row r="95" spans="1:7" ht="14.4">
      <c r="B95"/>
    </row>
    <row r="96" spans="1:7" ht="16.2">
      <c r="A96" s="119" t="s">
        <v>788</v>
      </c>
      <c r="B96" s="154"/>
    </row>
    <row r="97" spans="1:5" ht="14.4">
      <c r="B97"/>
    </row>
    <row r="98" spans="1:5" ht="14.4">
      <c r="B98" s="469" t="s">
        <v>186</v>
      </c>
      <c r="C98" s="783"/>
      <c r="D98" s="784"/>
      <c r="E98" s="785"/>
    </row>
    <row r="99" spans="1:5" ht="14.4">
      <c r="B99" s="469" t="s">
        <v>187</v>
      </c>
      <c r="C99" s="783"/>
      <c r="D99" s="784"/>
      <c r="E99" s="785"/>
    </row>
    <row r="100" spans="1:5" ht="24.75" customHeight="1">
      <c r="A100" s="119" t="s">
        <v>789</v>
      </c>
      <c r="B100"/>
    </row>
    <row r="101" spans="1:5" ht="14.4">
      <c r="B101"/>
    </row>
    <row r="102" spans="1:5" ht="14.4">
      <c r="B102" s="783"/>
      <c r="C102" s="784"/>
      <c r="D102" s="784"/>
      <c r="E102" s="785"/>
    </row>
  </sheetData>
  <mergeCells count="22">
    <mergeCell ref="F82:F83"/>
    <mergeCell ref="C94:E94"/>
    <mergeCell ref="C98:E98"/>
    <mergeCell ref="C99:E99"/>
    <mergeCell ref="B102:E102"/>
    <mergeCell ref="B82:B83"/>
    <mergeCell ref="C82:C83"/>
    <mergeCell ref="D82:D83"/>
    <mergeCell ref="E82:E83"/>
    <mergeCell ref="F59:F60"/>
    <mergeCell ref="B69:B70"/>
    <mergeCell ref="C69:C70"/>
    <mergeCell ref="D69:D70"/>
    <mergeCell ref="E69:E70"/>
    <mergeCell ref="F69:F70"/>
    <mergeCell ref="E59:E60"/>
    <mergeCell ref="B35:B38"/>
    <mergeCell ref="B40:B42"/>
    <mergeCell ref="B47:D47"/>
    <mergeCell ref="B59:B60"/>
    <mergeCell ref="C59:C60"/>
    <mergeCell ref="D59:D60"/>
  </mergeCells>
  <dataValidations count="3">
    <dataValidation type="list" allowBlank="1" showInputMessage="1" showErrorMessage="1" sqref="B29">
      <formula1>$J$2:$J$4</formula1>
    </dataValidation>
    <dataValidation type="list" allowBlank="1" showInputMessage="1" showErrorMessage="1" sqref="C20:C21 C24">
      <formula1>$H$2:$H$4</formula1>
    </dataValidation>
    <dataValidation type="list" allowBlank="1" showInputMessage="1" showErrorMessage="1" sqref="C23">
      <formula1>$I$2:$I$3</formula1>
    </dataValidation>
  </dataValidations>
  <hyperlinks>
    <hyperlink ref="C26" location="_ftn1" display="_ftn1"/>
    <hyperlink ref="D26" location="_ftn2" display="_ftn2"/>
    <hyperlink ref="E26" location="_ftn3" display="_ftn3"/>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5537" r:id="rId4" name="Check Box 1">
              <controlPr defaultSize="0" autoFill="0" autoLine="0" autoPict="0">
                <anchor moveWithCells="1">
                  <from>
                    <xdr:col>2</xdr:col>
                    <xdr:colOff>99060</xdr:colOff>
                    <xdr:row>32</xdr:row>
                    <xdr:rowOff>0</xdr:rowOff>
                  </from>
                  <to>
                    <xdr:col>3</xdr:col>
                    <xdr:colOff>632460</xdr:colOff>
                    <xdr:row>33</xdr:row>
                    <xdr:rowOff>30480</xdr:rowOff>
                  </to>
                </anchor>
              </controlPr>
            </control>
          </mc:Choice>
        </mc:AlternateContent>
        <mc:AlternateContent xmlns:mc="http://schemas.openxmlformats.org/markup-compatibility/2006">
          <mc:Choice Requires="x14">
            <control shapeId="65538" r:id="rId5" name="Check Box 2">
              <controlPr defaultSize="0" autoFill="0" autoLine="0" autoPict="0">
                <anchor moveWithCells="1">
                  <from>
                    <xdr:col>2</xdr:col>
                    <xdr:colOff>99060</xdr:colOff>
                    <xdr:row>34</xdr:row>
                    <xdr:rowOff>0</xdr:rowOff>
                  </from>
                  <to>
                    <xdr:col>3</xdr:col>
                    <xdr:colOff>2004060</xdr:colOff>
                    <xdr:row>34</xdr:row>
                    <xdr:rowOff>160020</xdr:rowOff>
                  </to>
                </anchor>
              </controlPr>
            </control>
          </mc:Choice>
        </mc:AlternateContent>
        <mc:AlternateContent xmlns:mc="http://schemas.openxmlformats.org/markup-compatibility/2006">
          <mc:Choice Requires="x14">
            <control shapeId="65539" r:id="rId6" name="Check Box 3">
              <controlPr defaultSize="0" autoFill="0" autoLine="0" autoPict="0">
                <anchor moveWithCells="1">
                  <from>
                    <xdr:col>2</xdr:col>
                    <xdr:colOff>99060</xdr:colOff>
                    <xdr:row>32</xdr:row>
                    <xdr:rowOff>182880</xdr:rowOff>
                  </from>
                  <to>
                    <xdr:col>3</xdr:col>
                    <xdr:colOff>2956560</xdr:colOff>
                    <xdr:row>34</xdr:row>
                    <xdr:rowOff>7620</xdr:rowOff>
                  </to>
                </anchor>
              </controlPr>
            </control>
          </mc:Choice>
        </mc:AlternateContent>
        <mc:AlternateContent xmlns:mc="http://schemas.openxmlformats.org/markup-compatibility/2006">
          <mc:Choice Requires="x14">
            <control shapeId="65540" r:id="rId7" name="Check Box 4">
              <controlPr defaultSize="0" autoFill="0" autoLine="0" autoPict="0">
                <anchor moveWithCells="1">
                  <from>
                    <xdr:col>2</xdr:col>
                    <xdr:colOff>38100</xdr:colOff>
                    <xdr:row>36</xdr:row>
                    <xdr:rowOff>30480</xdr:rowOff>
                  </from>
                  <to>
                    <xdr:col>10</xdr:col>
                    <xdr:colOff>388620</xdr:colOff>
                    <xdr:row>36</xdr:row>
                    <xdr:rowOff>160020</xdr:rowOff>
                  </to>
                </anchor>
              </controlPr>
            </control>
          </mc:Choice>
        </mc:AlternateContent>
        <mc:AlternateContent xmlns:mc="http://schemas.openxmlformats.org/markup-compatibility/2006">
          <mc:Choice Requires="x14">
            <control shapeId="65541" r:id="rId8" name="Check Box 5">
              <controlPr defaultSize="0" autoFill="0" autoLine="0" autoPict="0">
                <anchor moveWithCells="1">
                  <from>
                    <xdr:col>2</xdr:col>
                    <xdr:colOff>45720</xdr:colOff>
                    <xdr:row>37</xdr:row>
                    <xdr:rowOff>30480</xdr:rowOff>
                  </from>
                  <to>
                    <xdr:col>11</xdr:col>
                    <xdr:colOff>152400</xdr:colOff>
                    <xdr:row>38</xdr:row>
                    <xdr:rowOff>0</xdr:rowOff>
                  </to>
                </anchor>
              </controlPr>
            </control>
          </mc:Choice>
        </mc:AlternateContent>
        <mc:AlternateContent xmlns:mc="http://schemas.openxmlformats.org/markup-compatibility/2006">
          <mc:Choice Requires="x14">
            <control shapeId="65542" r:id="rId9" name="Check Box 6">
              <controlPr defaultSize="0" autoFill="0" autoLine="0" autoPict="0">
                <anchor moveWithCells="1">
                  <from>
                    <xdr:col>2</xdr:col>
                    <xdr:colOff>45720</xdr:colOff>
                    <xdr:row>38</xdr:row>
                    <xdr:rowOff>7620</xdr:rowOff>
                  </from>
                  <to>
                    <xdr:col>6</xdr:col>
                    <xdr:colOff>1394460</xdr:colOff>
                    <xdr:row>39</xdr:row>
                    <xdr:rowOff>0</xdr:rowOff>
                  </to>
                </anchor>
              </controlPr>
            </control>
          </mc:Choice>
        </mc:AlternateContent>
        <mc:AlternateContent xmlns:mc="http://schemas.openxmlformats.org/markup-compatibility/2006">
          <mc:Choice Requires="x14">
            <control shapeId="65543" r:id="rId10" name="Check Box 7">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65544" r:id="rId11" name="Check Box 8">
              <controlPr defaultSize="0" autoFill="0" autoLine="0" autoPict="0">
                <anchor moveWithCells="1">
                  <from>
                    <xdr:col>2</xdr:col>
                    <xdr:colOff>99060</xdr:colOff>
                    <xdr:row>32</xdr:row>
                    <xdr:rowOff>0</xdr:rowOff>
                  </from>
                  <to>
                    <xdr:col>3</xdr:col>
                    <xdr:colOff>632460</xdr:colOff>
                    <xdr:row>33</xdr:row>
                    <xdr:rowOff>30480</xdr:rowOff>
                  </to>
                </anchor>
              </controlPr>
            </control>
          </mc:Choice>
        </mc:AlternateContent>
        <mc:AlternateContent xmlns:mc="http://schemas.openxmlformats.org/markup-compatibility/2006">
          <mc:Choice Requires="x14">
            <control shapeId="65545" r:id="rId12" name="Check Box 9">
              <controlPr defaultSize="0" autoFill="0" autoLine="0" autoPict="0">
                <anchor moveWithCells="1">
                  <from>
                    <xdr:col>2</xdr:col>
                    <xdr:colOff>99060</xdr:colOff>
                    <xdr:row>34</xdr:row>
                    <xdr:rowOff>0</xdr:rowOff>
                  </from>
                  <to>
                    <xdr:col>3</xdr:col>
                    <xdr:colOff>2004060</xdr:colOff>
                    <xdr:row>34</xdr:row>
                    <xdr:rowOff>160020</xdr:rowOff>
                  </to>
                </anchor>
              </controlPr>
            </control>
          </mc:Choice>
        </mc:AlternateContent>
        <mc:AlternateContent xmlns:mc="http://schemas.openxmlformats.org/markup-compatibility/2006">
          <mc:Choice Requires="x14">
            <control shapeId="65546" r:id="rId13" name="Check Box 10">
              <controlPr defaultSize="0" autoFill="0" autoLine="0" autoPict="0">
                <anchor moveWithCells="1">
                  <from>
                    <xdr:col>2</xdr:col>
                    <xdr:colOff>99060</xdr:colOff>
                    <xdr:row>32</xdr:row>
                    <xdr:rowOff>182880</xdr:rowOff>
                  </from>
                  <to>
                    <xdr:col>3</xdr:col>
                    <xdr:colOff>2956560</xdr:colOff>
                    <xdr:row>34</xdr:row>
                    <xdr:rowOff>7620</xdr:rowOff>
                  </to>
                </anchor>
              </controlPr>
            </control>
          </mc:Choice>
        </mc:AlternateContent>
        <mc:AlternateContent xmlns:mc="http://schemas.openxmlformats.org/markup-compatibility/2006">
          <mc:Choice Requires="x14">
            <control shapeId="65547" r:id="rId14" name="Check Box 11">
              <controlPr defaultSize="0" autoFill="0" autoLine="0" autoPict="0">
                <anchor moveWithCells="1">
                  <from>
                    <xdr:col>2</xdr:col>
                    <xdr:colOff>45720</xdr:colOff>
                    <xdr:row>38</xdr:row>
                    <xdr:rowOff>7620</xdr:rowOff>
                  </from>
                  <to>
                    <xdr:col>6</xdr:col>
                    <xdr:colOff>1394460</xdr:colOff>
                    <xdr:row>39</xdr:row>
                    <xdr:rowOff>0</xdr:rowOff>
                  </to>
                </anchor>
              </controlPr>
            </control>
          </mc:Choice>
        </mc:AlternateContent>
        <mc:AlternateContent xmlns:mc="http://schemas.openxmlformats.org/markup-compatibility/2006">
          <mc:Choice Requires="x14">
            <control shapeId="65548" r:id="rId15" name="Check Box 12">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65549" r:id="rId16" name="Check Box 13">
              <controlPr defaultSize="0" autoFill="0" autoLine="0" autoPict="0">
                <anchor moveWithCells="1">
                  <from>
                    <xdr:col>2</xdr:col>
                    <xdr:colOff>99060</xdr:colOff>
                    <xdr:row>32</xdr:row>
                    <xdr:rowOff>0</xdr:rowOff>
                  </from>
                  <to>
                    <xdr:col>3</xdr:col>
                    <xdr:colOff>632460</xdr:colOff>
                    <xdr:row>33</xdr:row>
                    <xdr:rowOff>30480</xdr:rowOff>
                  </to>
                </anchor>
              </controlPr>
            </control>
          </mc:Choice>
        </mc:AlternateContent>
        <mc:AlternateContent xmlns:mc="http://schemas.openxmlformats.org/markup-compatibility/2006">
          <mc:Choice Requires="x14">
            <control shapeId="65550" r:id="rId17" name="Check Box 14">
              <controlPr defaultSize="0" autoFill="0" autoLine="0" autoPict="0">
                <anchor moveWithCells="1">
                  <from>
                    <xdr:col>2</xdr:col>
                    <xdr:colOff>99060</xdr:colOff>
                    <xdr:row>34</xdr:row>
                    <xdr:rowOff>0</xdr:rowOff>
                  </from>
                  <to>
                    <xdr:col>3</xdr:col>
                    <xdr:colOff>2004060</xdr:colOff>
                    <xdr:row>34</xdr:row>
                    <xdr:rowOff>160020</xdr:rowOff>
                  </to>
                </anchor>
              </controlPr>
            </control>
          </mc:Choice>
        </mc:AlternateContent>
        <mc:AlternateContent xmlns:mc="http://schemas.openxmlformats.org/markup-compatibility/2006">
          <mc:Choice Requires="x14">
            <control shapeId="65551" r:id="rId18" name="Check Box 15">
              <controlPr defaultSize="0" autoFill="0" autoLine="0" autoPict="0">
                <anchor moveWithCells="1">
                  <from>
                    <xdr:col>2</xdr:col>
                    <xdr:colOff>99060</xdr:colOff>
                    <xdr:row>32</xdr:row>
                    <xdr:rowOff>182880</xdr:rowOff>
                  </from>
                  <to>
                    <xdr:col>3</xdr:col>
                    <xdr:colOff>2956560</xdr:colOff>
                    <xdr:row>34</xdr:row>
                    <xdr:rowOff>7620</xdr:rowOff>
                  </to>
                </anchor>
              </controlPr>
            </control>
          </mc:Choice>
        </mc:AlternateContent>
        <mc:AlternateContent xmlns:mc="http://schemas.openxmlformats.org/markup-compatibility/2006">
          <mc:Choice Requires="x14">
            <control shapeId="65552" r:id="rId19" name="Check Box 16">
              <controlPr defaultSize="0" autoFill="0" autoLine="0" autoPict="0">
                <anchor moveWithCells="1">
                  <from>
                    <xdr:col>2</xdr:col>
                    <xdr:colOff>38100</xdr:colOff>
                    <xdr:row>36</xdr:row>
                    <xdr:rowOff>30480</xdr:rowOff>
                  </from>
                  <to>
                    <xdr:col>10</xdr:col>
                    <xdr:colOff>388620</xdr:colOff>
                    <xdr:row>36</xdr:row>
                    <xdr:rowOff>160020</xdr:rowOff>
                  </to>
                </anchor>
              </controlPr>
            </control>
          </mc:Choice>
        </mc:AlternateContent>
        <mc:AlternateContent xmlns:mc="http://schemas.openxmlformats.org/markup-compatibility/2006">
          <mc:Choice Requires="x14">
            <control shapeId="65553" r:id="rId20" name="Check Box 17">
              <controlPr defaultSize="0" autoFill="0" autoLine="0" autoPict="0">
                <anchor moveWithCells="1">
                  <from>
                    <xdr:col>2</xdr:col>
                    <xdr:colOff>45720</xdr:colOff>
                    <xdr:row>37</xdr:row>
                    <xdr:rowOff>30480</xdr:rowOff>
                  </from>
                  <to>
                    <xdr:col>11</xdr:col>
                    <xdr:colOff>152400</xdr:colOff>
                    <xdr:row>38</xdr:row>
                    <xdr:rowOff>0</xdr:rowOff>
                  </to>
                </anchor>
              </controlPr>
            </control>
          </mc:Choice>
        </mc:AlternateContent>
        <mc:AlternateContent xmlns:mc="http://schemas.openxmlformats.org/markup-compatibility/2006">
          <mc:Choice Requires="x14">
            <control shapeId="65554" r:id="rId21" name="Check Box 18">
              <controlPr defaultSize="0" autoFill="0" autoLine="0" autoPict="0">
                <anchor moveWithCells="1">
                  <from>
                    <xdr:col>2</xdr:col>
                    <xdr:colOff>45720</xdr:colOff>
                    <xdr:row>38</xdr:row>
                    <xdr:rowOff>7620</xdr:rowOff>
                  </from>
                  <to>
                    <xdr:col>6</xdr:col>
                    <xdr:colOff>1394460</xdr:colOff>
                    <xdr:row>39</xdr:row>
                    <xdr:rowOff>0</xdr:rowOff>
                  </to>
                </anchor>
              </controlPr>
            </control>
          </mc:Choice>
        </mc:AlternateContent>
        <mc:AlternateContent xmlns:mc="http://schemas.openxmlformats.org/markup-compatibility/2006">
          <mc:Choice Requires="x14">
            <control shapeId="65555" r:id="rId22" name="Check Box 19">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65556" r:id="rId23" name="Check Box 20">
              <controlPr defaultSize="0" autoFill="0" autoLine="0" autoPict="0">
                <anchor moveWithCells="1">
                  <from>
                    <xdr:col>2</xdr:col>
                    <xdr:colOff>99060</xdr:colOff>
                    <xdr:row>32</xdr:row>
                    <xdr:rowOff>0</xdr:rowOff>
                  </from>
                  <to>
                    <xdr:col>3</xdr:col>
                    <xdr:colOff>632460</xdr:colOff>
                    <xdr:row>33</xdr:row>
                    <xdr:rowOff>30480</xdr:rowOff>
                  </to>
                </anchor>
              </controlPr>
            </control>
          </mc:Choice>
        </mc:AlternateContent>
        <mc:AlternateContent xmlns:mc="http://schemas.openxmlformats.org/markup-compatibility/2006">
          <mc:Choice Requires="x14">
            <control shapeId="65557" r:id="rId24" name="Check Box 21">
              <controlPr defaultSize="0" autoFill="0" autoLine="0" autoPict="0">
                <anchor moveWithCells="1">
                  <from>
                    <xdr:col>2</xdr:col>
                    <xdr:colOff>99060</xdr:colOff>
                    <xdr:row>34</xdr:row>
                    <xdr:rowOff>0</xdr:rowOff>
                  </from>
                  <to>
                    <xdr:col>3</xdr:col>
                    <xdr:colOff>2004060</xdr:colOff>
                    <xdr:row>34</xdr:row>
                    <xdr:rowOff>160020</xdr:rowOff>
                  </to>
                </anchor>
              </controlPr>
            </control>
          </mc:Choice>
        </mc:AlternateContent>
        <mc:AlternateContent xmlns:mc="http://schemas.openxmlformats.org/markup-compatibility/2006">
          <mc:Choice Requires="x14">
            <control shapeId="65558" r:id="rId25" name="Check Box 22">
              <controlPr defaultSize="0" autoFill="0" autoLine="0" autoPict="0">
                <anchor moveWithCells="1">
                  <from>
                    <xdr:col>2</xdr:col>
                    <xdr:colOff>99060</xdr:colOff>
                    <xdr:row>32</xdr:row>
                    <xdr:rowOff>182880</xdr:rowOff>
                  </from>
                  <to>
                    <xdr:col>3</xdr:col>
                    <xdr:colOff>2956560</xdr:colOff>
                    <xdr:row>34</xdr:row>
                    <xdr:rowOff>7620</xdr:rowOff>
                  </to>
                </anchor>
              </controlPr>
            </control>
          </mc:Choice>
        </mc:AlternateContent>
        <mc:AlternateContent xmlns:mc="http://schemas.openxmlformats.org/markup-compatibility/2006">
          <mc:Choice Requires="x14">
            <control shapeId="65559" r:id="rId26" name="Check Box 23">
              <controlPr defaultSize="0" autoFill="0" autoLine="0" autoPict="0">
                <anchor moveWithCells="1">
                  <from>
                    <xdr:col>2</xdr:col>
                    <xdr:colOff>45720</xdr:colOff>
                    <xdr:row>38</xdr:row>
                    <xdr:rowOff>7620</xdr:rowOff>
                  </from>
                  <to>
                    <xdr:col>6</xdr:col>
                    <xdr:colOff>1394460</xdr:colOff>
                    <xdr:row>39</xdr:row>
                    <xdr:rowOff>0</xdr:rowOff>
                  </to>
                </anchor>
              </controlPr>
            </control>
          </mc:Choice>
        </mc:AlternateContent>
        <mc:AlternateContent xmlns:mc="http://schemas.openxmlformats.org/markup-compatibility/2006">
          <mc:Choice Requires="x14">
            <control shapeId="65560" r:id="rId27" name="Check Box 24">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65561" r:id="rId28" name="Check Box 25">
              <controlPr defaultSize="0" autoFill="0" autoLine="0" autoPict="0">
                <anchor moveWithCells="1">
                  <from>
                    <xdr:col>2</xdr:col>
                    <xdr:colOff>83820</xdr:colOff>
                    <xdr:row>34</xdr:row>
                    <xdr:rowOff>7620</xdr:rowOff>
                  </from>
                  <to>
                    <xdr:col>3</xdr:col>
                    <xdr:colOff>2293620</xdr:colOff>
                    <xdr:row>35</xdr:row>
                    <xdr:rowOff>38100</xdr:rowOff>
                  </to>
                </anchor>
              </controlPr>
            </control>
          </mc:Choice>
        </mc:AlternateContent>
        <mc:AlternateContent xmlns:mc="http://schemas.openxmlformats.org/markup-compatibility/2006">
          <mc:Choice Requires="x14">
            <control shapeId="65562" r:id="rId29" name="Check Box 26">
              <controlPr defaultSize="0" autoFill="0" autoLine="0" autoPict="0">
                <anchor moveWithCells="1">
                  <from>
                    <xdr:col>2</xdr:col>
                    <xdr:colOff>99060</xdr:colOff>
                    <xdr:row>35</xdr:row>
                    <xdr:rowOff>0</xdr:rowOff>
                  </from>
                  <to>
                    <xdr:col>3</xdr:col>
                    <xdr:colOff>693420</xdr:colOff>
                    <xdr:row>36</xdr:row>
                    <xdr:rowOff>7620</xdr:rowOff>
                  </to>
                </anchor>
              </controlPr>
            </control>
          </mc:Choice>
        </mc:AlternateContent>
        <mc:AlternateContent xmlns:mc="http://schemas.openxmlformats.org/markup-compatibility/2006">
          <mc:Choice Requires="x14">
            <control shapeId="65563" r:id="rId30" name="Check Box 27">
              <controlPr defaultSize="0" autoFill="0" autoLine="0" autoPict="0">
                <anchor moveWithCells="1">
                  <from>
                    <xdr:col>2</xdr:col>
                    <xdr:colOff>99060</xdr:colOff>
                    <xdr:row>37</xdr:row>
                    <xdr:rowOff>0</xdr:rowOff>
                  </from>
                  <to>
                    <xdr:col>3</xdr:col>
                    <xdr:colOff>1950720</xdr:colOff>
                    <xdr:row>37</xdr:row>
                    <xdr:rowOff>160020</xdr:rowOff>
                  </to>
                </anchor>
              </controlPr>
            </control>
          </mc:Choice>
        </mc:AlternateContent>
        <mc:AlternateContent xmlns:mc="http://schemas.openxmlformats.org/markup-compatibility/2006">
          <mc:Choice Requires="x14">
            <control shapeId="65564" r:id="rId31" name="Check Box 28">
              <controlPr defaultSize="0" autoFill="0" autoLine="0" autoPict="0">
                <anchor moveWithCells="1">
                  <from>
                    <xdr:col>2</xdr:col>
                    <xdr:colOff>99060</xdr:colOff>
                    <xdr:row>35</xdr:row>
                    <xdr:rowOff>182880</xdr:rowOff>
                  </from>
                  <to>
                    <xdr:col>3</xdr:col>
                    <xdr:colOff>2865120</xdr:colOff>
                    <xdr:row>37</xdr:row>
                    <xdr:rowOff>22860</xdr:rowOff>
                  </to>
                </anchor>
              </controlPr>
            </control>
          </mc:Choice>
        </mc:AlternateContent>
        <mc:AlternateContent xmlns:mc="http://schemas.openxmlformats.org/markup-compatibility/2006">
          <mc:Choice Requires="x14">
            <control shapeId="65565" r:id="rId32" name="Check Box 29">
              <controlPr defaultSize="0" autoFill="0" autoLine="0" autoPict="0">
                <anchor moveWithCells="1">
                  <from>
                    <xdr:col>2</xdr:col>
                    <xdr:colOff>38100</xdr:colOff>
                    <xdr:row>39</xdr:row>
                    <xdr:rowOff>30480</xdr:rowOff>
                  </from>
                  <to>
                    <xdr:col>10</xdr:col>
                    <xdr:colOff>525780</xdr:colOff>
                    <xdr:row>39</xdr:row>
                    <xdr:rowOff>160020</xdr:rowOff>
                  </to>
                </anchor>
              </controlPr>
            </control>
          </mc:Choice>
        </mc:AlternateContent>
        <mc:AlternateContent xmlns:mc="http://schemas.openxmlformats.org/markup-compatibility/2006">
          <mc:Choice Requires="x14">
            <control shapeId="65566" r:id="rId33" name="Check Box 30">
              <controlPr defaultSize="0" autoFill="0" autoLine="0" autoPict="0">
                <anchor moveWithCells="1">
                  <from>
                    <xdr:col>2</xdr:col>
                    <xdr:colOff>45720</xdr:colOff>
                    <xdr:row>40</xdr:row>
                    <xdr:rowOff>30480</xdr:rowOff>
                  </from>
                  <to>
                    <xdr:col>11</xdr:col>
                    <xdr:colOff>152400</xdr:colOff>
                    <xdr:row>41</xdr:row>
                    <xdr:rowOff>0</xdr:rowOff>
                  </to>
                </anchor>
              </controlPr>
            </control>
          </mc:Choice>
        </mc:AlternateContent>
        <mc:AlternateContent xmlns:mc="http://schemas.openxmlformats.org/markup-compatibility/2006">
          <mc:Choice Requires="x14">
            <control shapeId="65567" r:id="rId34" name="Check Box 31">
              <controlPr defaultSize="0" autoFill="0" autoLine="0" autoPict="0">
                <anchor moveWithCells="1">
                  <from>
                    <xdr:col>2</xdr:col>
                    <xdr:colOff>45720</xdr:colOff>
                    <xdr:row>41</xdr:row>
                    <xdr:rowOff>7620</xdr:rowOff>
                  </from>
                  <to>
                    <xdr:col>6</xdr:col>
                    <xdr:colOff>1447800</xdr:colOff>
                    <xdr:row>42</xdr:row>
                    <xdr:rowOff>0</xdr:rowOff>
                  </to>
                </anchor>
              </controlPr>
            </control>
          </mc:Choice>
        </mc:AlternateContent>
        <mc:AlternateContent xmlns:mc="http://schemas.openxmlformats.org/markup-compatibility/2006">
          <mc:Choice Requires="x14">
            <control shapeId="65568" r:id="rId35" name="Check Box 32">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workbookViewId="0">
      <selection activeCell="I9" sqref="I9"/>
    </sheetView>
  </sheetViews>
  <sheetFormatPr defaultColWidth="9.109375" defaultRowHeight="15.6"/>
  <cols>
    <col min="1" max="1" width="9.109375" style="71"/>
    <col min="2" max="2" width="13.5546875" style="71" customWidth="1"/>
    <col min="3" max="3" width="11.44140625" style="71" customWidth="1"/>
    <col min="4" max="4" width="10.88671875" style="71" customWidth="1"/>
    <col min="5" max="5" width="11.44140625" style="71" customWidth="1"/>
    <col min="6" max="6" width="9" style="71" customWidth="1"/>
    <col min="7" max="7" width="8.5546875" style="71" customWidth="1"/>
    <col min="8" max="8" width="10.6640625" style="71" customWidth="1"/>
    <col min="9" max="9" width="31.5546875" style="71" customWidth="1"/>
    <col min="10" max="10" width="65.88671875" style="71" customWidth="1"/>
    <col min="11" max="11" width="16.44140625" style="71" customWidth="1"/>
    <col min="12" max="12" width="46.109375" style="71" customWidth="1"/>
    <col min="13" max="15" width="20.109375" style="71" customWidth="1"/>
    <col min="16" max="16" width="26.109375" style="71" customWidth="1"/>
    <col min="17" max="17" width="18.109375" style="71" customWidth="1"/>
    <col min="18" max="18" width="15.33203125" style="71" customWidth="1"/>
    <col min="19" max="19" width="15.6640625" style="71" customWidth="1"/>
    <col min="20" max="20" width="10.6640625" style="71" customWidth="1"/>
    <col min="21" max="21" width="11.44140625" style="71" customWidth="1"/>
    <col min="22" max="22" width="9.109375" style="71"/>
    <col min="23" max="23" width="14.88671875" style="71" hidden="1" customWidth="1"/>
    <col min="24" max="16384" width="9.109375" style="71"/>
  </cols>
  <sheetData>
    <row r="1" spans="1:16">
      <c r="A1" s="2" t="s">
        <v>176</v>
      </c>
    </row>
    <row r="2" spans="1:16" ht="18">
      <c r="A2" s="118"/>
    </row>
    <row r="3" spans="1:16">
      <c r="A3" s="2" t="s">
        <v>268</v>
      </c>
    </row>
    <row r="5" spans="1:16">
      <c r="B5" s="119" t="s">
        <v>725</v>
      </c>
      <c r="E5" s="811" t="s">
        <v>640</v>
      </c>
      <c r="F5" s="811"/>
      <c r="G5" s="811"/>
      <c r="H5" s="811"/>
      <c r="I5" s="811"/>
    </row>
    <row r="7" spans="1:16" ht="42" customHeight="1">
      <c r="B7" s="779" t="s">
        <v>5</v>
      </c>
      <c r="C7" s="779"/>
      <c r="D7" s="775" t="s">
        <v>124</v>
      </c>
      <c r="E7" s="775"/>
      <c r="F7" s="780" t="s">
        <v>123</v>
      </c>
      <c r="G7" s="781"/>
      <c r="H7" s="782"/>
      <c r="I7" s="773" t="s">
        <v>175</v>
      </c>
      <c r="J7" s="773" t="s">
        <v>174</v>
      </c>
      <c r="K7" s="773" t="s">
        <v>180</v>
      </c>
      <c r="L7" s="773" t="s">
        <v>181</v>
      </c>
      <c r="M7" s="775" t="s">
        <v>122</v>
      </c>
      <c r="N7" s="773" t="s">
        <v>121</v>
      </c>
      <c r="O7" s="773" t="s">
        <v>173</v>
      </c>
      <c r="P7" s="775" t="s">
        <v>183</v>
      </c>
    </row>
    <row r="8" spans="1:16" ht="22.5" customHeight="1">
      <c r="B8" s="354" t="s">
        <v>1</v>
      </c>
      <c r="C8" s="354" t="s">
        <v>20</v>
      </c>
      <c r="D8" s="353" t="s">
        <v>120</v>
      </c>
      <c r="E8" s="354" t="s">
        <v>20</v>
      </c>
      <c r="F8" s="354" t="s">
        <v>54</v>
      </c>
      <c r="G8" s="354" t="s">
        <v>72</v>
      </c>
      <c r="H8" s="354" t="s">
        <v>97</v>
      </c>
      <c r="I8" s="774"/>
      <c r="J8" s="774"/>
      <c r="K8" s="774"/>
      <c r="L8" s="774"/>
      <c r="M8" s="775"/>
      <c r="N8" s="774"/>
      <c r="O8" s="774"/>
      <c r="P8" s="775"/>
    </row>
    <row r="9" spans="1:16" ht="313.2">
      <c r="B9" s="355">
        <v>1016</v>
      </c>
      <c r="C9" s="355">
        <v>11004</v>
      </c>
      <c r="D9" s="355" t="s">
        <v>598</v>
      </c>
      <c r="E9" s="355" t="s">
        <v>612</v>
      </c>
      <c r="F9" s="362">
        <v>719620</v>
      </c>
      <c r="G9" s="362">
        <v>152320</v>
      </c>
      <c r="H9" s="362">
        <v>181570</v>
      </c>
      <c r="I9" s="360" t="s">
        <v>613</v>
      </c>
      <c r="J9" s="360" t="s">
        <v>614</v>
      </c>
      <c r="K9" s="355"/>
      <c r="L9" s="360" t="s">
        <v>615</v>
      </c>
      <c r="M9" s="355">
        <v>2027</v>
      </c>
      <c r="N9" s="355" t="s">
        <v>616</v>
      </c>
      <c r="O9" s="355"/>
      <c r="P9" s="355"/>
    </row>
    <row r="10" spans="1:16">
      <c r="B10" s="70" t="s">
        <v>9</v>
      </c>
      <c r="C10" s="70"/>
      <c r="D10" s="70"/>
      <c r="E10" s="70"/>
      <c r="F10" s="366">
        <f>F9</f>
        <v>719620</v>
      </c>
      <c r="G10" s="366">
        <f>G9</f>
        <v>152320</v>
      </c>
      <c r="H10" s="366">
        <f>H9</f>
        <v>181570</v>
      </c>
      <c r="I10" s="70"/>
      <c r="J10" s="70"/>
      <c r="K10" s="151"/>
      <c r="L10" s="151"/>
      <c r="M10" s="151"/>
      <c r="N10" s="151"/>
      <c r="O10" s="151"/>
      <c r="P10" s="70"/>
    </row>
    <row r="11" spans="1:16" hidden="1">
      <c r="B11" s="776" t="s">
        <v>9</v>
      </c>
      <c r="C11" s="777"/>
      <c r="D11" s="777"/>
      <c r="E11" s="778"/>
      <c r="F11" s="147">
        <f>SUM(F9:F10)</f>
        <v>1439240</v>
      </c>
      <c r="G11" s="147">
        <f>SUM(G9:G10)</f>
        <v>304640</v>
      </c>
      <c r="H11" s="147">
        <f>SUM(H9:H10)</f>
        <v>363140</v>
      </c>
      <c r="I11" s="117" t="s">
        <v>39</v>
      </c>
      <c r="J11" s="117" t="s">
        <v>39</v>
      </c>
      <c r="K11" s="117" t="s">
        <v>39</v>
      </c>
      <c r="L11" s="117" t="s">
        <v>39</v>
      </c>
      <c r="M11" s="117"/>
      <c r="N11" s="117"/>
      <c r="O11" s="117"/>
      <c r="P11" s="117" t="s">
        <v>39</v>
      </c>
    </row>
    <row r="13" spans="1:16" ht="26.25" customHeight="1"/>
    <row r="14" spans="1:16" ht="15.6" hidden="1" customHeight="1"/>
  </sheetData>
  <mergeCells count="13">
    <mergeCell ref="E5:I5"/>
    <mergeCell ref="J7:J8"/>
    <mergeCell ref="K7:K8"/>
    <mergeCell ref="B11:E11"/>
    <mergeCell ref="B7:C7"/>
    <mergeCell ref="D7:E7"/>
    <mergeCell ref="F7:H7"/>
    <mergeCell ref="I7:I8"/>
    <mergeCell ref="L7:L8"/>
    <mergeCell ref="M7:M8"/>
    <mergeCell ref="N7:N8"/>
    <mergeCell ref="O7:O8"/>
    <mergeCell ref="P7:P8"/>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27"/>
  <sheetViews>
    <sheetView workbookViewId="0">
      <selection sqref="A1:XFD1048576"/>
    </sheetView>
  </sheetViews>
  <sheetFormatPr defaultColWidth="9.109375" defaultRowHeight="13.2"/>
  <cols>
    <col min="1" max="1" width="9.109375" style="73"/>
    <col min="2" max="2" width="48.109375" style="578" customWidth="1"/>
    <col min="3" max="3" width="14.6640625" style="73" customWidth="1"/>
    <col min="4" max="4" width="16" style="73" customWidth="1"/>
    <col min="5" max="5" width="13.6640625" style="73" customWidth="1"/>
    <col min="6" max="6" width="14.6640625" style="73" customWidth="1"/>
    <col min="7" max="7" width="28.33203125" style="73" customWidth="1"/>
    <col min="8" max="8" width="4" style="73" hidden="1" customWidth="1"/>
    <col min="9" max="10" width="7.88671875" style="73" hidden="1" customWidth="1"/>
    <col min="11" max="16384" width="9.109375" style="73"/>
  </cols>
  <sheetData>
    <row r="1" spans="1:10" s="514" customFormat="1" ht="30" customHeight="1">
      <c r="A1" s="513" t="s">
        <v>811</v>
      </c>
      <c r="C1" s="515" t="s">
        <v>812</v>
      </c>
      <c r="D1" s="515"/>
      <c r="E1" s="513"/>
      <c r="F1" s="513"/>
    </row>
    <row r="2" spans="1:10" ht="46.5" customHeight="1">
      <c r="A2" s="516"/>
      <c r="B2" s="833" t="s">
        <v>612</v>
      </c>
      <c r="C2" s="834"/>
      <c r="D2" s="834"/>
      <c r="E2" s="835"/>
      <c r="F2" s="513"/>
      <c r="H2" s="513" t="s">
        <v>125</v>
      </c>
      <c r="I2" s="513" t="s">
        <v>126</v>
      </c>
      <c r="J2" s="73" t="s">
        <v>127</v>
      </c>
    </row>
    <row r="3" spans="1:10">
      <c r="A3" s="517"/>
      <c r="B3" s="518"/>
      <c r="C3" s="515"/>
      <c r="D3" s="515"/>
      <c r="E3" s="513"/>
      <c r="F3" s="513"/>
      <c r="H3" s="513" t="s">
        <v>128</v>
      </c>
      <c r="I3" s="73" t="s">
        <v>129</v>
      </c>
      <c r="J3" s="519" t="s">
        <v>130</v>
      </c>
    </row>
    <row r="4" spans="1:10">
      <c r="A4" s="520" t="s">
        <v>131</v>
      </c>
      <c r="B4" s="518"/>
      <c r="C4" s="515"/>
      <c r="D4" s="515"/>
      <c r="E4" s="513"/>
      <c r="F4" s="513"/>
      <c r="H4" s="513" t="s">
        <v>132</v>
      </c>
      <c r="I4" s="73" t="s">
        <v>133</v>
      </c>
      <c r="J4" s="519" t="s">
        <v>134</v>
      </c>
    </row>
    <row r="5" spans="1:10">
      <c r="A5" s="517"/>
      <c r="B5" s="518"/>
      <c r="C5" s="515"/>
      <c r="D5" s="515"/>
      <c r="E5" s="513"/>
      <c r="F5" s="513"/>
      <c r="H5" s="513" t="s">
        <v>135</v>
      </c>
      <c r="J5" s="519" t="s">
        <v>136</v>
      </c>
    </row>
    <row r="6" spans="1:10" ht="48" customHeight="1">
      <c r="A6" s="517"/>
      <c r="B6" s="125" t="s">
        <v>814</v>
      </c>
      <c r="C6" s="836" t="s">
        <v>815</v>
      </c>
      <c r="D6" s="836"/>
      <c r="E6" s="836"/>
      <c r="F6" s="513"/>
      <c r="G6" s="513"/>
    </row>
    <row r="7" spans="1:10" ht="35.25" customHeight="1">
      <c r="A7" s="517"/>
      <c r="B7" s="125" t="s">
        <v>199</v>
      </c>
      <c r="C7" s="836"/>
      <c r="D7" s="836"/>
      <c r="E7" s="836"/>
      <c r="F7" s="513"/>
      <c r="G7" s="513"/>
    </row>
    <row r="8" spans="1:10">
      <c r="A8" s="517"/>
      <c r="B8" s="518"/>
      <c r="C8" s="515"/>
      <c r="D8" s="521" t="s">
        <v>588</v>
      </c>
      <c r="E8" s="513"/>
      <c r="F8" s="513"/>
      <c r="G8" s="513"/>
    </row>
    <row r="9" spans="1:10">
      <c r="A9" s="520" t="s">
        <v>137</v>
      </c>
      <c r="B9" s="518"/>
      <c r="C9" s="515"/>
      <c r="D9" s="515"/>
      <c r="E9" s="513"/>
      <c r="F9" s="513"/>
      <c r="G9" s="513"/>
    </row>
    <row r="10" spans="1:10">
      <c r="A10" s="520"/>
      <c r="B10" s="518"/>
      <c r="C10" s="515"/>
      <c r="D10" s="515"/>
      <c r="E10" s="513"/>
      <c r="F10" s="513"/>
      <c r="G10" s="513"/>
    </row>
    <row r="11" spans="1:10" ht="33.75" customHeight="1">
      <c r="A11" s="520"/>
      <c r="B11" s="125" t="s">
        <v>816</v>
      </c>
      <c r="C11" s="837" t="s">
        <v>598</v>
      </c>
      <c r="D11" s="838"/>
      <c r="E11" s="839"/>
      <c r="G11" s="513"/>
    </row>
    <row r="12" spans="1:10">
      <c r="A12" s="520"/>
      <c r="B12" s="125" t="s">
        <v>817</v>
      </c>
      <c r="C12" s="840">
        <v>1016</v>
      </c>
      <c r="D12" s="841"/>
      <c r="E12" s="842"/>
      <c r="G12" s="513"/>
    </row>
    <row r="13" spans="1:10">
      <c r="A13" s="520"/>
      <c r="B13" s="522"/>
      <c r="C13" s="843"/>
      <c r="D13" s="843"/>
      <c r="E13" s="843"/>
      <c r="F13" s="513"/>
      <c r="G13" s="513"/>
    </row>
    <row r="14" spans="1:10">
      <c r="A14" s="520"/>
      <c r="B14" s="125" t="s">
        <v>138</v>
      </c>
      <c r="C14" s="840" t="s">
        <v>873</v>
      </c>
      <c r="D14" s="841"/>
      <c r="E14" s="842"/>
      <c r="F14" s="513"/>
      <c r="G14" s="513"/>
    </row>
    <row r="15" spans="1:10">
      <c r="A15" s="520"/>
      <c r="B15" s="125" t="s">
        <v>818</v>
      </c>
      <c r="C15" s="523" t="s">
        <v>723</v>
      </c>
      <c r="D15" s="523"/>
      <c r="E15" s="523"/>
      <c r="F15" s="513"/>
      <c r="G15" s="513"/>
    </row>
    <row r="16" spans="1:10">
      <c r="A16" s="520"/>
      <c r="B16" s="518"/>
      <c r="C16" s="115"/>
      <c r="D16" s="515"/>
      <c r="E16" s="513"/>
      <c r="F16" s="513"/>
      <c r="G16" s="513"/>
    </row>
    <row r="17" spans="1:10">
      <c r="A17" s="520" t="s">
        <v>139</v>
      </c>
      <c r="B17" s="518"/>
      <c r="C17" s="115"/>
      <c r="D17" s="515"/>
      <c r="E17" s="513"/>
      <c r="F17" s="513"/>
      <c r="G17" s="513"/>
    </row>
    <row r="18" spans="1:10" ht="39.75" customHeight="1">
      <c r="B18" s="131" t="s">
        <v>252</v>
      </c>
      <c r="C18" s="844" t="s">
        <v>963</v>
      </c>
      <c r="D18" s="845"/>
      <c r="E18" s="846"/>
      <c r="F18" s="513"/>
      <c r="G18" s="513"/>
    </row>
    <row r="19" spans="1:10">
      <c r="A19" s="520"/>
      <c r="B19" s="125" t="s">
        <v>820</v>
      </c>
      <c r="C19" s="524">
        <v>11005</v>
      </c>
      <c r="D19" s="515"/>
      <c r="E19" s="513"/>
      <c r="F19" s="513"/>
      <c r="G19" s="513"/>
    </row>
    <row r="20" spans="1:10">
      <c r="A20" s="520"/>
      <c r="B20" s="515"/>
      <c r="C20" s="515"/>
      <c r="D20" s="515"/>
      <c r="E20" s="513"/>
      <c r="F20" s="513"/>
      <c r="G20" s="513"/>
    </row>
    <row r="21" spans="1:10" ht="26.25" customHeight="1">
      <c r="A21" s="520"/>
      <c r="B21" s="125" t="s">
        <v>821</v>
      </c>
      <c r="C21" s="525" t="s">
        <v>128</v>
      </c>
      <c r="F21" s="513"/>
      <c r="G21" s="513"/>
    </row>
    <row r="22" spans="1:10">
      <c r="A22" s="520"/>
      <c r="B22" s="73"/>
      <c r="C22" s="523"/>
      <c r="F22" s="513"/>
      <c r="G22" s="513"/>
    </row>
    <row r="23" spans="1:10">
      <c r="A23" s="520"/>
      <c r="B23" s="518"/>
      <c r="C23" s="115"/>
      <c r="D23" s="515"/>
      <c r="E23" s="513"/>
      <c r="F23" s="513"/>
      <c r="G23" s="513"/>
    </row>
    <row r="24" spans="1:10">
      <c r="A24" s="520"/>
      <c r="B24" s="125" t="s">
        <v>822</v>
      </c>
      <c r="C24" s="525" t="s">
        <v>129</v>
      </c>
      <c r="F24" s="513"/>
      <c r="G24" s="513"/>
    </row>
    <row r="25" spans="1:10">
      <c r="A25" s="520"/>
      <c r="B25" s="73"/>
      <c r="C25" s="523"/>
      <c r="D25" s="515"/>
      <c r="E25" s="513"/>
      <c r="F25" s="513"/>
      <c r="G25" s="513"/>
    </row>
    <row r="26" spans="1:10">
      <c r="A26" s="520"/>
      <c r="B26" s="518"/>
      <c r="C26" s="115"/>
      <c r="D26" s="515"/>
      <c r="E26" s="513"/>
      <c r="F26" s="513"/>
      <c r="G26" s="513"/>
    </row>
    <row r="27" spans="1:10" ht="15.75" customHeight="1">
      <c r="A27" s="520" t="s">
        <v>140</v>
      </c>
      <c r="B27" s="73"/>
      <c r="C27" s="518"/>
      <c r="D27" s="518"/>
      <c r="E27" s="518"/>
      <c r="F27" s="518"/>
      <c r="G27" s="518"/>
      <c r="H27" s="518"/>
      <c r="I27" s="518"/>
      <c r="J27" s="518"/>
    </row>
    <row r="28" spans="1:10">
      <c r="B28" s="518"/>
      <c r="C28" s="518"/>
      <c r="D28" s="518"/>
      <c r="E28" s="518"/>
      <c r="F28" s="518"/>
      <c r="G28" s="518"/>
      <c r="H28" s="518"/>
      <c r="I28" s="518"/>
      <c r="J28" s="518"/>
    </row>
    <row r="29" spans="1:10" ht="54" customHeight="1">
      <c r="B29" s="131" t="s">
        <v>823</v>
      </c>
      <c r="C29" s="131" t="s">
        <v>824</v>
      </c>
      <c r="D29" s="131" t="s">
        <v>825</v>
      </c>
      <c r="E29" s="131" t="s">
        <v>826</v>
      </c>
      <c r="F29" s="518"/>
      <c r="G29" s="518"/>
      <c r="H29" s="518"/>
      <c r="I29" s="518"/>
      <c r="J29" s="518"/>
    </row>
    <row r="30" spans="1:10" ht="138" customHeight="1">
      <c r="B30" s="499" t="s">
        <v>134</v>
      </c>
      <c r="C30" s="500" t="s">
        <v>827</v>
      </c>
      <c r="D30" s="500" t="s">
        <v>758</v>
      </c>
      <c r="E30" s="526" t="s">
        <v>964</v>
      </c>
      <c r="G30" s="518"/>
      <c r="H30" s="518"/>
      <c r="I30" s="518"/>
    </row>
    <row r="31" spans="1:10">
      <c r="A31" s="520"/>
      <c r="B31" s="518"/>
      <c r="C31" s="115"/>
      <c r="D31" s="515"/>
      <c r="E31" s="513"/>
      <c r="F31" s="513"/>
      <c r="G31" s="513"/>
    </row>
    <row r="32" spans="1:10" s="527" customFormat="1" ht="20.25" customHeight="1">
      <c r="A32" s="520" t="s">
        <v>141</v>
      </c>
    </row>
    <row r="33" spans="1:7" s="527" customFormat="1" ht="15" customHeight="1"/>
    <row r="34" spans="1:7" s="527" customFormat="1" ht="86.25" customHeight="1">
      <c r="B34" s="125" t="s">
        <v>828</v>
      </c>
      <c r="C34" s="812" t="s">
        <v>965</v>
      </c>
      <c r="D34" s="813"/>
      <c r="E34" s="813"/>
      <c r="F34" s="813"/>
      <c r="G34" s="814"/>
    </row>
    <row r="35" spans="1:7" s="527" customFormat="1" ht="17.25" customHeight="1"/>
    <row r="36" spans="1:7" s="527" customFormat="1" ht="16.5" customHeight="1">
      <c r="B36" s="789" t="s">
        <v>830</v>
      </c>
      <c r="C36" s="528" t="s">
        <v>763</v>
      </c>
    </row>
    <row r="37" spans="1:7" s="527" customFormat="1" ht="15" customHeight="1">
      <c r="B37" s="790"/>
    </row>
    <row r="38" spans="1:7" s="527" customFormat="1" ht="15" customHeight="1">
      <c r="B38" s="790"/>
    </row>
    <row r="39" spans="1:7" s="527" customFormat="1" ht="15" customHeight="1">
      <c r="B39" s="791"/>
      <c r="C39" s="529"/>
    </row>
    <row r="40" spans="1:7" s="527" customFormat="1" ht="15" customHeight="1"/>
    <row r="41" spans="1:7" s="527" customFormat="1" ht="13.5" customHeight="1">
      <c r="B41" s="789" t="s">
        <v>831</v>
      </c>
    </row>
    <row r="42" spans="1:7" s="527" customFormat="1">
      <c r="B42" s="790"/>
    </row>
    <row r="43" spans="1:7" s="527" customFormat="1">
      <c r="B43" s="791"/>
    </row>
    <row r="44" spans="1:7" s="527" customFormat="1"/>
    <row r="45" spans="1:7" s="527" customFormat="1"/>
    <row r="46" spans="1:7" s="527" customFormat="1" ht="18" customHeight="1">
      <c r="A46" s="530" t="s">
        <v>832</v>
      </c>
    </row>
    <row r="47" spans="1:7" s="527" customFormat="1" ht="42" customHeight="1">
      <c r="B47" s="826" t="s">
        <v>614</v>
      </c>
      <c r="C47" s="826"/>
      <c r="D47" s="826"/>
      <c r="E47" s="826"/>
      <c r="F47" s="826"/>
      <c r="G47" s="826"/>
    </row>
    <row r="48" spans="1:7" s="527" customFormat="1" ht="42" customHeight="1">
      <c r="B48" s="826"/>
      <c r="C48" s="826"/>
      <c r="D48" s="826"/>
      <c r="E48" s="826"/>
      <c r="F48" s="826"/>
      <c r="G48" s="826"/>
    </row>
    <row r="49" spans="1:7" s="527" customFormat="1" ht="87.75" customHeight="1">
      <c r="B49" s="826"/>
      <c r="C49" s="826"/>
      <c r="D49" s="826"/>
      <c r="E49" s="826"/>
      <c r="F49" s="826"/>
      <c r="G49" s="826"/>
    </row>
    <row r="50" spans="1:7" s="527" customFormat="1" ht="56.25" customHeight="1">
      <c r="B50" s="826"/>
      <c r="C50" s="826"/>
      <c r="D50" s="826"/>
      <c r="E50" s="826"/>
      <c r="F50" s="826"/>
      <c r="G50" s="826"/>
    </row>
    <row r="51" spans="1:7" s="527" customFormat="1" ht="27.75" customHeight="1">
      <c r="B51" s="826"/>
      <c r="C51" s="826"/>
      <c r="D51" s="826"/>
      <c r="E51" s="826"/>
      <c r="F51" s="826"/>
      <c r="G51" s="826"/>
    </row>
    <row r="52" spans="1:7" s="527" customFormat="1" ht="6" customHeight="1">
      <c r="B52" s="826"/>
      <c r="C52" s="826"/>
      <c r="D52" s="826"/>
      <c r="E52" s="826"/>
      <c r="F52" s="826"/>
      <c r="G52" s="826"/>
    </row>
    <row r="53" spans="1:7" s="527" customFormat="1" ht="15" customHeight="1"/>
    <row r="54" spans="1:7" s="531" customFormat="1" ht="23.25" customHeight="1">
      <c r="A54" s="513" t="s">
        <v>834</v>
      </c>
    </row>
    <row r="55" spans="1:7" s="527" customFormat="1" ht="36" customHeight="1">
      <c r="B55" s="827" t="s">
        <v>966</v>
      </c>
      <c r="C55" s="828"/>
      <c r="D55" s="828"/>
      <c r="E55" s="828"/>
      <c r="F55" s="828"/>
      <c r="G55" s="829"/>
    </row>
    <row r="56" spans="1:7" s="527" customFormat="1" ht="36" customHeight="1">
      <c r="B56" s="830"/>
      <c r="C56" s="831"/>
      <c r="D56" s="831"/>
      <c r="E56" s="831"/>
      <c r="F56" s="831"/>
      <c r="G56" s="832"/>
    </row>
    <row r="57" spans="1:7" s="527" customFormat="1" ht="33.75" customHeight="1">
      <c r="B57" s="830"/>
      <c r="C57" s="831"/>
      <c r="D57" s="831"/>
      <c r="E57" s="831"/>
      <c r="F57" s="831"/>
      <c r="G57" s="832"/>
    </row>
    <row r="58" spans="1:7" s="527" customFormat="1" ht="36" customHeight="1">
      <c r="B58" s="830"/>
      <c r="C58" s="831"/>
      <c r="D58" s="831"/>
      <c r="E58" s="831"/>
      <c r="F58" s="831"/>
      <c r="G58" s="832"/>
    </row>
    <row r="59" spans="1:7" s="527" customFormat="1" ht="36" customHeight="1">
      <c r="B59" s="830"/>
      <c r="C59" s="831"/>
      <c r="D59" s="831"/>
      <c r="E59" s="831"/>
      <c r="F59" s="831"/>
      <c r="G59" s="832"/>
    </row>
    <row r="60" spans="1:7" s="527" customFormat="1" ht="10.5" customHeight="1">
      <c r="B60" s="879"/>
      <c r="C60" s="880"/>
      <c r="D60" s="880"/>
      <c r="E60" s="880"/>
      <c r="F60" s="880"/>
      <c r="G60" s="881"/>
    </row>
    <row r="61" spans="1:7" s="527" customFormat="1" ht="15" customHeight="1"/>
    <row r="62" spans="1:7" s="527" customFormat="1" ht="15" customHeight="1">
      <c r="A62" s="520" t="s">
        <v>835</v>
      </c>
    </row>
    <row r="63" spans="1:7" s="527" customFormat="1" ht="15" customHeight="1"/>
    <row r="64" spans="1:7" s="527" customFormat="1" ht="85.5" customHeight="1">
      <c r="B64" s="812" t="s">
        <v>967</v>
      </c>
      <c r="C64" s="813"/>
      <c r="D64" s="813"/>
      <c r="E64" s="813"/>
      <c r="F64" s="813"/>
      <c r="G64" s="814"/>
    </row>
    <row r="65" spans="1:7" s="527" customFormat="1"/>
    <row r="66" spans="1:7" s="527" customFormat="1">
      <c r="A66" s="520" t="s">
        <v>142</v>
      </c>
    </row>
    <row r="67" spans="1:7" s="527" customFormat="1"/>
    <row r="68" spans="1:7" s="527" customFormat="1" ht="15" customHeight="1">
      <c r="B68" s="786" t="s">
        <v>837</v>
      </c>
      <c r="C68" s="786" t="s">
        <v>143</v>
      </c>
      <c r="D68" s="786" t="s">
        <v>799</v>
      </c>
      <c r="E68" s="786" t="s">
        <v>75</v>
      </c>
      <c r="F68" s="786" t="s">
        <v>800</v>
      </c>
      <c r="G68" s="470" t="s">
        <v>146</v>
      </c>
    </row>
    <row r="69" spans="1:7" s="527" customFormat="1">
      <c r="B69" s="787"/>
      <c r="C69" s="787"/>
      <c r="D69" s="787"/>
      <c r="E69" s="787"/>
      <c r="F69" s="787"/>
      <c r="G69" s="470" t="str">
        <f>C15</f>
        <v>2027 և շարունակական</v>
      </c>
    </row>
    <row r="70" spans="1:7" ht="36" customHeight="1">
      <c r="B70" s="532" t="s">
        <v>968</v>
      </c>
      <c r="C70" s="503"/>
      <c r="D70" s="503"/>
      <c r="E70" s="503"/>
      <c r="F70" s="503"/>
      <c r="G70" s="503"/>
    </row>
    <row r="71" spans="1:7" ht="45" customHeight="1">
      <c r="B71" s="533" t="s">
        <v>969</v>
      </c>
      <c r="C71" s="24" t="s">
        <v>775</v>
      </c>
      <c r="D71" s="534">
        <v>40</v>
      </c>
      <c r="E71" s="534">
        <v>60</v>
      </c>
      <c r="F71" s="534">
        <v>100</v>
      </c>
      <c r="G71" s="503"/>
    </row>
    <row r="72" spans="1:7" ht="53.25" customHeight="1">
      <c r="B72" s="533" t="s">
        <v>970</v>
      </c>
      <c r="C72" s="24" t="s">
        <v>775</v>
      </c>
      <c r="D72" s="534">
        <v>40</v>
      </c>
      <c r="E72" s="534">
        <v>60</v>
      </c>
      <c r="F72" s="534">
        <v>100</v>
      </c>
      <c r="G72" s="503"/>
    </row>
    <row r="73" spans="1:7" ht="35.25" customHeight="1">
      <c r="B73" s="532" t="s">
        <v>971</v>
      </c>
      <c r="C73" s="503"/>
      <c r="D73" s="534"/>
      <c r="E73" s="534"/>
      <c r="F73" s="534"/>
      <c r="G73" s="503"/>
    </row>
    <row r="74" spans="1:7" ht="26.25" customHeight="1">
      <c r="B74" s="533" t="s">
        <v>972</v>
      </c>
      <c r="C74" s="24" t="s">
        <v>772</v>
      </c>
      <c r="D74" s="534">
        <v>5</v>
      </c>
      <c r="E74" s="534">
        <v>10</v>
      </c>
      <c r="F74" s="669">
        <v>17</v>
      </c>
      <c r="G74" s="632"/>
    </row>
    <row r="75" spans="1:7" ht="34.5" customHeight="1">
      <c r="B75" s="533" t="s">
        <v>973</v>
      </c>
      <c r="C75" s="24" t="s">
        <v>772</v>
      </c>
      <c r="D75" s="534">
        <v>20</v>
      </c>
      <c r="E75" s="534">
        <v>40</v>
      </c>
      <c r="F75" s="669">
        <v>70</v>
      </c>
      <c r="G75" s="632"/>
    </row>
    <row r="76" spans="1:7" ht="33" customHeight="1">
      <c r="B76" s="533" t="s">
        <v>974</v>
      </c>
      <c r="C76" s="24" t="s">
        <v>775</v>
      </c>
      <c r="D76" s="534">
        <v>30</v>
      </c>
      <c r="E76" s="534">
        <v>60</v>
      </c>
      <c r="F76" s="669">
        <v>100</v>
      </c>
      <c r="G76" s="632"/>
    </row>
    <row r="77" spans="1:7" ht="30.75" customHeight="1">
      <c r="B77" s="532" t="s">
        <v>975</v>
      </c>
      <c r="C77" s="24"/>
      <c r="D77" s="534"/>
      <c r="E77" s="534"/>
      <c r="F77" s="669"/>
      <c r="G77" s="632"/>
    </row>
    <row r="78" spans="1:7" ht="32.25" customHeight="1">
      <c r="B78" s="533" t="s">
        <v>976</v>
      </c>
      <c r="C78" s="24" t="s">
        <v>775</v>
      </c>
      <c r="D78" s="534">
        <v>60</v>
      </c>
      <c r="E78" s="534">
        <v>80</v>
      </c>
      <c r="F78" s="669">
        <v>100</v>
      </c>
      <c r="G78" s="632"/>
    </row>
    <row r="79" spans="1:7" ht="44.25" customHeight="1">
      <c r="B79" s="533" t="s">
        <v>977</v>
      </c>
      <c r="C79" s="24" t="s">
        <v>772</v>
      </c>
      <c r="D79" s="534">
        <v>2</v>
      </c>
      <c r="E79" s="534">
        <v>2</v>
      </c>
      <c r="F79" s="669">
        <v>2</v>
      </c>
      <c r="G79" s="632"/>
    </row>
    <row r="80" spans="1:7" ht="30.75" customHeight="1">
      <c r="B80" s="532" t="s">
        <v>978</v>
      </c>
      <c r="C80" s="24"/>
      <c r="D80" s="534"/>
      <c r="E80" s="534"/>
      <c r="F80" s="669"/>
      <c r="G80" s="632"/>
    </row>
    <row r="81" spans="1:7" ht="53.25" customHeight="1">
      <c r="B81" s="533" t="s">
        <v>979</v>
      </c>
      <c r="C81" s="24" t="s">
        <v>775</v>
      </c>
      <c r="D81" s="534">
        <v>40</v>
      </c>
      <c r="E81" s="534">
        <v>60</v>
      </c>
      <c r="F81" s="669">
        <v>100</v>
      </c>
      <c r="G81" s="632"/>
    </row>
    <row r="82" spans="1:7" ht="33" customHeight="1">
      <c r="B82" s="532" t="s">
        <v>980</v>
      </c>
      <c r="C82" s="24"/>
      <c r="D82" s="534"/>
      <c r="E82" s="534"/>
      <c r="F82" s="669"/>
      <c r="G82" s="632"/>
    </row>
    <row r="83" spans="1:7" ht="48.75" customHeight="1">
      <c r="B83" s="533" t="s">
        <v>981</v>
      </c>
      <c r="C83" s="24" t="s">
        <v>772</v>
      </c>
      <c r="D83" s="534">
        <v>2</v>
      </c>
      <c r="E83" s="534">
        <v>2</v>
      </c>
      <c r="F83" s="669">
        <v>2</v>
      </c>
      <c r="G83" s="632"/>
    </row>
    <row r="84" spans="1:7" ht="54.75" customHeight="1">
      <c r="B84" s="533" t="s">
        <v>982</v>
      </c>
      <c r="C84" s="24" t="s">
        <v>772</v>
      </c>
      <c r="D84" s="534">
        <v>2</v>
      </c>
      <c r="E84" s="534">
        <v>2</v>
      </c>
      <c r="F84" s="669">
        <v>2</v>
      </c>
      <c r="G84" s="632"/>
    </row>
    <row r="85" spans="1:7" ht="43.5" customHeight="1">
      <c r="B85" s="533" t="s">
        <v>983</v>
      </c>
      <c r="C85" s="24" t="s">
        <v>772</v>
      </c>
      <c r="D85" s="534">
        <v>1</v>
      </c>
      <c r="E85" s="534">
        <v>1</v>
      </c>
      <c r="F85" s="669">
        <v>1</v>
      </c>
      <c r="G85" s="632"/>
    </row>
    <row r="86" spans="1:7">
      <c r="B86" s="527"/>
    </row>
    <row r="87" spans="1:7">
      <c r="A87" s="520" t="s">
        <v>144</v>
      </c>
      <c r="B87" s="527"/>
    </row>
    <row r="88" spans="1:7">
      <c r="B88" s="527"/>
    </row>
    <row r="89" spans="1:7">
      <c r="B89" s="786" t="s">
        <v>838</v>
      </c>
      <c r="C89" s="786" t="s">
        <v>839</v>
      </c>
      <c r="D89" s="786" t="s">
        <v>799</v>
      </c>
      <c r="E89" s="786" t="s">
        <v>72</v>
      </c>
      <c r="F89" s="786" t="s">
        <v>800</v>
      </c>
      <c r="G89" s="470" t="s">
        <v>146</v>
      </c>
    </row>
    <row r="90" spans="1:7">
      <c r="B90" s="787"/>
      <c r="C90" s="787"/>
      <c r="D90" s="787"/>
      <c r="E90" s="787"/>
      <c r="F90" s="787"/>
      <c r="G90" s="470" t="str">
        <f>C15</f>
        <v>2027 և շարունակական</v>
      </c>
    </row>
    <row r="91" spans="1:7" ht="13.8" thickBot="1">
      <c r="B91" s="535"/>
      <c r="C91" s="535"/>
      <c r="D91" s="535"/>
      <c r="E91" s="535"/>
      <c r="F91" s="536"/>
      <c r="G91" s="470"/>
    </row>
    <row r="92" spans="1:7" ht="23.25" customHeight="1">
      <c r="B92" s="537" t="s">
        <v>840</v>
      </c>
      <c r="C92" s="538"/>
      <c r="D92" s="670">
        <f>D93+D94+D95+D96+D97</f>
        <v>631100</v>
      </c>
      <c r="E92" s="671">
        <f t="shared" ref="E92:F92" si="0">E93+E94+E95+E96+E97</f>
        <v>55000</v>
      </c>
      <c r="F92" s="671">
        <f t="shared" si="0"/>
        <v>77000</v>
      </c>
      <c r="G92" s="672">
        <v>2029</v>
      </c>
    </row>
    <row r="93" spans="1:7" ht="20.25" customHeight="1">
      <c r="B93" s="673" t="s">
        <v>984</v>
      </c>
      <c r="C93" s="547"/>
      <c r="D93" s="548">
        <v>50000</v>
      </c>
      <c r="E93" s="572">
        <v>50000</v>
      </c>
      <c r="F93" s="573">
        <v>70000</v>
      </c>
      <c r="G93" s="557">
        <v>2029</v>
      </c>
    </row>
    <row r="94" spans="1:7" ht="32.25" customHeight="1">
      <c r="B94" s="673" t="s">
        <v>985</v>
      </c>
      <c r="C94" s="547"/>
      <c r="D94" s="548">
        <v>560000</v>
      </c>
      <c r="E94" s="572">
        <v>0</v>
      </c>
      <c r="F94" s="573">
        <v>0</v>
      </c>
      <c r="G94" s="557">
        <v>2027</v>
      </c>
    </row>
    <row r="95" spans="1:7" ht="34.5" customHeight="1">
      <c r="B95" s="673" t="s">
        <v>986</v>
      </c>
      <c r="C95" s="547"/>
      <c r="D95" s="548">
        <v>7500</v>
      </c>
      <c r="E95" s="572">
        <v>5000</v>
      </c>
      <c r="F95" s="674">
        <v>7000</v>
      </c>
      <c r="G95" s="557">
        <v>2029</v>
      </c>
    </row>
    <row r="96" spans="1:7" ht="32.25" customHeight="1">
      <c r="B96" s="673" t="s">
        <v>987</v>
      </c>
      <c r="C96" s="547"/>
      <c r="D96" s="548">
        <v>10800</v>
      </c>
      <c r="E96" s="572">
        <v>0</v>
      </c>
      <c r="F96" s="674">
        <v>0</v>
      </c>
      <c r="G96" s="557">
        <v>2029</v>
      </c>
    </row>
    <row r="97" spans="1:7" ht="33.75" customHeight="1" thickBot="1">
      <c r="B97" s="675" t="s">
        <v>988</v>
      </c>
      <c r="C97" s="676"/>
      <c r="D97" s="548">
        <v>2800</v>
      </c>
      <c r="E97" s="677">
        <v>0</v>
      </c>
      <c r="F97" s="678">
        <v>0</v>
      </c>
      <c r="G97" s="563">
        <v>2029</v>
      </c>
    </row>
    <row r="98" spans="1:7" ht="33.75" customHeight="1">
      <c r="B98" s="537" t="s">
        <v>989</v>
      </c>
      <c r="C98" s="538"/>
      <c r="D98" s="670">
        <f>D100+D101+D102</f>
        <v>56020</v>
      </c>
      <c r="E98" s="671">
        <f t="shared" ref="E98:F98" si="1">E100+E101+E102</f>
        <v>57320</v>
      </c>
      <c r="F98" s="671">
        <f t="shared" si="1"/>
        <v>59320</v>
      </c>
      <c r="G98" s="672"/>
    </row>
    <row r="99" spans="1:7" ht="33.75" customHeight="1">
      <c r="B99" s="679" t="s">
        <v>990</v>
      </c>
      <c r="C99" s="542"/>
      <c r="D99" s="680">
        <v>32500</v>
      </c>
      <c r="E99" s="681">
        <v>40000</v>
      </c>
      <c r="F99" s="682">
        <v>45250</v>
      </c>
      <c r="G99" s="557" t="s">
        <v>647</v>
      </c>
    </row>
    <row r="100" spans="1:7">
      <c r="B100" s="673" t="s">
        <v>991</v>
      </c>
      <c r="C100" s="547"/>
      <c r="D100" s="548">
        <v>45700</v>
      </c>
      <c r="E100" s="572">
        <v>47000</v>
      </c>
      <c r="F100" s="674">
        <v>49000</v>
      </c>
      <c r="G100" s="557" t="s">
        <v>647</v>
      </c>
    </row>
    <row r="101" spans="1:7">
      <c r="B101" s="673" t="s">
        <v>992</v>
      </c>
      <c r="C101" s="575"/>
      <c r="D101" s="548">
        <v>4320</v>
      </c>
      <c r="E101" s="572">
        <v>4320</v>
      </c>
      <c r="F101" s="683">
        <v>4320</v>
      </c>
      <c r="G101" s="557" t="s">
        <v>647</v>
      </c>
    </row>
    <row r="102" spans="1:7" ht="13.8" thickBot="1">
      <c r="B102" s="675" t="s">
        <v>993</v>
      </c>
      <c r="C102" s="676"/>
      <c r="D102" s="561">
        <v>6000</v>
      </c>
      <c r="E102" s="677">
        <v>6000</v>
      </c>
      <c r="F102" s="684">
        <v>6000</v>
      </c>
      <c r="G102" s="563" t="s">
        <v>647</v>
      </c>
    </row>
    <row r="103" spans="1:7" ht="24.75" customHeight="1" thickBot="1">
      <c r="B103" s="685" t="s">
        <v>9</v>
      </c>
      <c r="C103" s="686"/>
      <c r="D103" s="687">
        <f>D98+D92+D99</f>
        <v>719620</v>
      </c>
      <c r="E103" s="686">
        <f>E98+E92+E99</f>
        <v>152320</v>
      </c>
      <c r="F103" s="686">
        <f>F98+F92+F99</f>
        <v>181570</v>
      </c>
      <c r="G103" s="567"/>
    </row>
    <row r="104" spans="1:7">
      <c r="B104" s="73"/>
    </row>
    <row r="105" spans="1:7">
      <c r="A105" s="520" t="s">
        <v>147</v>
      </c>
      <c r="B105" s="73"/>
    </row>
    <row r="106" spans="1:7">
      <c r="B106" s="73"/>
    </row>
    <row r="107" spans="1:7">
      <c r="B107" s="786" t="s">
        <v>864</v>
      </c>
      <c r="C107" s="786" t="s">
        <v>865</v>
      </c>
      <c r="D107" s="786" t="s">
        <v>799</v>
      </c>
      <c r="E107" s="786" t="s">
        <v>72</v>
      </c>
      <c r="F107" s="786" t="s">
        <v>800</v>
      </c>
      <c r="G107" s="470" t="s">
        <v>146</v>
      </c>
    </row>
    <row r="108" spans="1:7">
      <c r="B108" s="787"/>
      <c r="C108" s="787"/>
      <c r="D108" s="787"/>
      <c r="E108" s="787"/>
      <c r="F108" s="787"/>
      <c r="G108" s="470"/>
    </row>
    <row r="109" spans="1:7" ht="26.4">
      <c r="B109" s="469" t="s">
        <v>148</v>
      </c>
      <c r="C109" s="626" t="s">
        <v>10</v>
      </c>
      <c r="D109" s="575">
        <f>D103</f>
        <v>719620</v>
      </c>
      <c r="E109" s="575">
        <f>E103</f>
        <v>152320</v>
      </c>
      <c r="F109" s="575">
        <f>F103</f>
        <v>181570</v>
      </c>
      <c r="G109" s="142"/>
    </row>
    <row r="110" spans="1:7">
      <c r="B110" s="570" t="s">
        <v>149</v>
      </c>
      <c r="C110" s="626" t="s">
        <v>10</v>
      </c>
      <c r="D110" s="572">
        <v>719620</v>
      </c>
      <c r="E110" s="572">
        <v>152320</v>
      </c>
      <c r="F110" s="573">
        <v>181570</v>
      </c>
      <c r="G110" s="571"/>
    </row>
    <row r="111" spans="1:7" ht="48" customHeight="1">
      <c r="B111" s="570" t="s">
        <v>150</v>
      </c>
      <c r="C111" s="626" t="s">
        <v>10</v>
      </c>
      <c r="D111" s="572"/>
      <c r="E111" s="572"/>
      <c r="F111" s="573"/>
      <c r="G111" s="132"/>
    </row>
    <row r="112" spans="1:7">
      <c r="B112" s="144" t="s">
        <v>151</v>
      </c>
      <c r="C112" s="626" t="s">
        <v>10</v>
      </c>
      <c r="D112" s="575">
        <f>SUM(D113:D114)</f>
        <v>0</v>
      </c>
      <c r="E112" s="575">
        <f t="shared" ref="E112:G112" si="2">SUM(E113:E114)</f>
        <v>0</v>
      </c>
      <c r="F112" s="575">
        <f t="shared" si="2"/>
        <v>0</v>
      </c>
      <c r="G112" s="142">
        <f t="shared" si="2"/>
        <v>0</v>
      </c>
    </row>
    <row r="113" spans="1:7">
      <c r="B113" s="478"/>
      <c r="C113" s="626" t="s">
        <v>10</v>
      </c>
      <c r="D113" s="572"/>
      <c r="E113" s="572"/>
      <c r="F113" s="573"/>
      <c r="G113" s="132"/>
    </row>
    <row r="114" spans="1:7">
      <c r="B114" s="478"/>
      <c r="C114" s="626" t="s">
        <v>10</v>
      </c>
      <c r="D114" s="572"/>
      <c r="E114" s="572"/>
      <c r="F114" s="573"/>
      <c r="G114" s="132"/>
    </row>
    <row r="115" spans="1:7" ht="27" customHeight="1">
      <c r="B115" s="469" t="s">
        <v>152</v>
      </c>
      <c r="C115" s="626" t="s">
        <v>10</v>
      </c>
      <c r="D115" s="688">
        <v>719620</v>
      </c>
      <c r="E115" s="688">
        <v>152320</v>
      </c>
      <c r="F115" s="689">
        <v>181570</v>
      </c>
      <c r="G115" s="142">
        <f t="shared" ref="G115" si="3">G109-G112-G111</f>
        <v>0</v>
      </c>
    </row>
    <row r="116" spans="1:7">
      <c r="B116" s="73"/>
    </row>
    <row r="117" spans="1:7" ht="19.5" customHeight="1">
      <c r="A117" s="520" t="s">
        <v>185</v>
      </c>
      <c r="B117" s="73"/>
    </row>
    <row r="118" spans="1:7" ht="21" customHeight="1">
      <c r="B118" s="73"/>
    </row>
    <row r="119" spans="1:7">
      <c r="B119" s="469" t="s">
        <v>866</v>
      </c>
      <c r="C119" s="876"/>
      <c r="D119" s="847"/>
      <c r="E119" s="848"/>
    </row>
    <row r="120" spans="1:7">
      <c r="B120" s="73"/>
    </row>
    <row r="121" spans="1:7" ht="13.8">
      <c r="A121" s="520" t="s">
        <v>867</v>
      </c>
      <c r="B121" s="630"/>
    </row>
    <row r="122" spans="1:7">
      <c r="B122" s="73"/>
    </row>
    <row r="123" spans="1:7">
      <c r="B123" s="469" t="s">
        <v>186</v>
      </c>
      <c r="C123" s="876"/>
      <c r="D123" s="847"/>
      <c r="E123" s="848"/>
    </row>
    <row r="124" spans="1:7">
      <c r="B124" s="469" t="s">
        <v>187</v>
      </c>
      <c r="C124" s="876"/>
      <c r="D124" s="847"/>
      <c r="E124" s="848"/>
    </row>
    <row r="125" spans="1:7" ht="24.75" customHeight="1">
      <c r="A125" s="520" t="s">
        <v>868</v>
      </c>
      <c r="B125" s="73"/>
    </row>
    <row r="126" spans="1:7">
      <c r="B126" s="73"/>
    </row>
    <row r="127" spans="1:7" ht="79.5" customHeight="1">
      <c r="B127" s="849" t="s">
        <v>994</v>
      </c>
      <c r="C127" s="850"/>
      <c r="D127" s="850"/>
      <c r="E127" s="850"/>
      <c r="F127" s="850"/>
      <c r="G127" s="851"/>
    </row>
  </sheetData>
  <mergeCells count="33">
    <mergeCell ref="C119:E119"/>
    <mergeCell ref="C123:E123"/>
    <mergeCell ref="C124:E124"/>
    <mergeCell ref="B127:G127"/>
    <mergeCell ref="B107:B108"/>
    <mergeCell ref="C107:C108"/>
    <mergeCell ref="D107:D108"/>
    <mergeCell ref="E107:E108"/>
    <mergeCell ref="F107:F108"/>
    <mergeCell ref="B89:B90"/>
    <mergeCell ref="C89:C90"/>
    <mergeCell ref="D89:D90"/>
    <mergeCell ref="E89:E90"/>
    <mergeCell ref="F89:F90"/>
    <mergeCell ref="C13:E13"/>
    <mergeCell ref="C14:E14"/>
    <mergeCell ref="C18:E18"/>
    <mergeCell ref="C34:G34"/>
    <mergeCell ref="B36:B39"/>
    <mergeCell ref="B2:E2"/>
    <mergeCell ref="C6:E6"/>
    <mergeCell ref="C7:E7"/>
    <mergeCell ref="C11:E11"/>
    <mergeCell ref="C12:E12"/>
    <mergeCell ref="B41:B43"/>
    <mergeCell ref="B47:G52"/>
    <mergeCell ref="B55:G60"/>
    <mergeCell ref="B64:G64"/>
    <mergeCell ref="B68:B69"/>
    <mergeCell ref="C68:C69"/>
    <mergeCell ref="D68:D69"/>
    <mergeCell ref="E68:E69"/>
    <mergeCell ref="F68:F69"/>
  </mergeCells>
  <dataValidations count="3">
    <dataValidation type="list" allowBlank="1" showInputMessage="1" showErrorMessage="1" sqref="C21:C22 C25">
      <formula1>$H$3:$H$5</formula1>
    </dataValidation>
    <dataValidation type="list" allowBlank="1" showInputMessage="1" showErrorMessage="1" sqref="C24">
      <formula1>$I$3:$I$4</formula1>
    </dataValidation>
    <dataValidation type="list" allowBlank="1" showInputMessage="1" showErrorMessage="1" sqref="B30">
      <formula1>$J$3:$J$5</formula1>
    </dataValidation>
  </dataValidations>
  <hyperlinks>
    <hyperlink ref="C26" location="_ftn1" display="_ftn1"/>
    <hyperlink ref="D26" location="_ftn2" display="_ftn2"/>
    <hyperlink ref="E26" location="_ftn3" display="_ftn3"/>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4513" r:id="rId4" name="Check Box 1">
              <controlPr defaultSize="0" autoFill="0" autoLine="0" autoPict="0">
                <anchor moveWithCells="1">
                  <from>
                    <xdr:col>2</xdr:col>
                    <xdr:colOff>99060</xdr:colOff>
                    <xdr:row>32</xdr:row>
                    <xdr:rowOff>0</xdr:rowOff>
                  </from>
                  <to>
                    <xdr:col>5</xdr:col>
                    <xdr:colOff>68580</xdr:colOff>
                    <xdr:row>33</xdr:row>
                    <xdr:rowOff>7620</xdr:rowOff>
                  </to>
                </anchor>
              </controlPr>
            </control>
          </mc:Choice>
        </mc:AlternateContent>
        <mc:AlternateContent xmlns:mc="http://schemas.openxmlformats.org/markup-compatibility/2006">
          <mc:Choice Requires="x14">
            <control shapeId="64514" r:id="rId5" name="Check Box 2">
              <controlPr defaultSize="0" autoFill="0" autoLine="0" autoPict="0">
                <anchor moveWithCells="1">
                  <from>
                    <xdr:col>2</xdr:col>
                    <xdr:colOff>99060</xdr:colOff>
                    <xdr:row>34</xdr:row>
                    <xdr:rowOff>0</xdr:rowOff>
                  </from>
                  <to>
                    <xdr:col>6</xdr:col>
                    <xdr:colOff>426720</xdr:colOff>
                    <xdr:row>34</xdr:row>
                    <xdr:rowOff>160020</xdr:rowOff>
                  </to>
                </anchor>
              </controlPr>
            </control>
          </mc:Choice>
        </mc:AlternateContent>
        <mc:AlternateContent xmlns:mc="http://schemas.openxmlformats.org/markup-compatibility/2006">
          <mc:Choice Requires="x14">
            <control shapeId="64515" r:id="rId6" name="Check Box 3">
              <controlPr defaultSize="0" autoFill="0" autoLine="0" autoPict="0">
                <anchor moveWithCells="1">
                  <from>
                    <xdr:col>2</xdr:col>
                    <xdr:colOff>99060</xdr:colOff>
                    <xdr:row>32</xdr:row>
                    <xdr:rowOff>182880</xdr:rowOff>
                  </from>
                  <to>
                    <xdr:col>6</xdr:col>
                    <xdr:colOff>1394460</xdr:colOff>
                    <xdr:row>33</xdr:row>
                    <xdr:rowOff>182880</xdr:rowOff>
                  </to>
                </anchor>
              </controlPr>
            </control>
          </mc:Choice>
        </mc:AlternateContent>
        <mc:AlternateContent xmlns:mc="http://schemas.openxmlformats.org/markup-compatibility/2006">
          <mc:Choice Requires="x14">
            <control shapeId="64516" r:id="rId7" name="Check Box 4">
              <controlPr defaultSize="0" autoFill="0" autoLine="0" autoPict="0">
                <anchor moveWithCells="1">
                  <from>
                    <xdr:col>2</xdr:col>
                    <xdr:colOff>38100</xdr:colOff>
                    <xdr:row>36</xdr:row>
                    <xdr:rowOff>30480</xdr:rowOff>
                  </from>
                  <to>
                    <xdr:col>20</xdr:col>
                    <xdr:colOff>106680</xdr:colOff>
                    <xdr:row>36</xdr:row>
                    <xdr:rowOff>160020</xdr:rowOff>
                  </to>
                </anchor>
              </controlPr>
            </control>
          </mc:Choice>
        </mc:AlternateContent>
        <mc:AlternateContent xmlns:mc="http://schemas.openxmlformats.org/markup-compatibility/2006">
          <mc:Choice Requires="x14">
            <control shapeId="64517" r:id="rId8" name="Check Box 5">
              <controlPr defaultSize="0" autoFill="0" autoLine="0" autoPict="0">
                <anchor moveWithCells="1">
                  <from>
                    <xdr:col>2</xdr:col>
                    <xdr:colOff>45720</xdr:colOff>
                    <xdr:row>37</xdr:row>
                    <xdr:rowOff>30480</xdr:rowOff>
                  </from>
                  <to>
                    <xdr:col>20</xdr:col>
                    <xdr:colOff>495300</xdr:colOff>
                    <xdr:row>38</xdr:row>
                    <xdr:rowOff>0</xdr:rowOff>
                  </to>
                </anchor>
              </controlPr>
            </control>
          </mc:Choice>
        </mc:AlternateContent>
        <mc:AlternateContent xmlns:mc="http://schemas.openxmlformats.org/markup-compatibility/2006">
          <mc:Choice Requires="x14">
            <control shapeId="64518" r:id="rId9" name="Check Box 6">
              <controlPr defaultSize="0" autoFill="0" autoLine="0" autoPict="0">
                <anchor moveWithCells="1">
                  <from>
                    <xdr:col>2</xdr:col>
                    <xdr:colOff>45720</xdr:colOff>
                    <xdr:row>38</xdr:row>
                    <xdr:rowOff>7620</xdr:rowOff>
                  </from>
                  <to>
                    <xdr:col>18</xdr:col>
                    <xdr:colOff>411480</xdr:colOff>
                    <xdr:row>39</xdr:row>
                    <xdr:rowOff>0</xdr:rowOff>
                  </to>
                </anchor>
              </controlPr>
            </control>
          </mc:Choice>
        </mc:AlternateContent>
        <mc:AlternateContent xmlns:mc="http://schemas.openxmlformats.org/markup-compatibility/2006">
          <mc:Choice Requires="x14">
            <control shapeId="64519" r:id="rId10" name="Check Box 7">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64520" r:id="rId11" name="Check Box 8">
              <controlPr defaultSize="0" autoFill="0" autoLine="0" autoPict="0">
                <anchor moveWithCells="1">
                  <from>
                    <xdr:col>2</xdr:col>
                    <xdr:colOff>99060</xdr:colOff>
                    <xdr:row>32</xdr:row>
                    <xdr:rowOff>0</xdr:rowOff>
                  </from>
                  <to>
                    <xdr:col>5</xdr:col>
                    <xdr:colOff>68580</xdr:colOff>
                    <xdr:row>33</xdr:row>
                    <xdr:rowOff>7620</xdr:rowOff>
                  </to>
                </anchor>
              </controlPr>
            </control>
          </mc:Choice>
        </mc:AlternateContent>
        <mc:AlternateContent xmlns:mc="http://schemas.openxmlformats.org/markup-compatibility/2006">
          <mc:Choice Requires="x14">
            <control shapeId="64521" r:id="rId12" name="Check Box 9">
              <controlPr defaultSize="0" autoFill="0" autoLine="0" autoPict="0">
                <anchor moveWithCells="1">
                  <from>
                    <xdr:col>2</xdr:col>
                    <xdr:colOff>99060</xdr:colOff>
                    <xdr:row>34</xdr:row>
                    <xdr:rowOff>0</xdr:rowOff>
                  </from>
                  <to>
                    <xdr:col>6</xdr:col>
                    <xdr:colOff>426720</xdr:colOff>
                    <xdr:row>34</xdr:row>
                    <xdr:rowOff>160020</xdr:rowOff>
                  </to>
                </anchor>
              </controlPr>
            </control>
          </mc:Choice>
        </mc:AlternateContent>
        <mc:AlternateContent xmlns:mc="http://schemas.openxmlformats.org/markup-compatibility/2006">
          <mc:Choice Requires="x14">
            <control shapeId="64522" r:id="rId13" name="Check Box 10">
              <controlPr defaultSize="0" autoFill="0" autoLine="0" autoPict="0">
                <anchor moveWithCells="1">
                  <from>
                    <xdr:col>2</xdr:col>
                    <xdr:colOff>99060</xdr:colOff>
                    <xdr:row>32</xdr:row>
                    <xdr:rowOff>182880</xdr:rowOff>
                  </from>
                  <to>
                    <xdr:col>6</xdr:col>
                    <xdr:colOff>1394460</xdr:colOff>
                    <xdr:row>33</xdr:row>
                    <xdr:rowOff>182880</xdr:rowOff>
                  </to>
                </anchor>
              </controlPr>
            </control>
          </mc:Choice>
        </mc:AlternateContent>
        <mc:AlternateContent xmlns:mc="http://schemas.openxmlformats.org/markup-compatibility/2006">
          <mc:Choice Requires="x14">
            <control shapeId="64523" r:id="rId14" name="Check Box 11">
              <controlPr defaultSize="0" autoFill="0" autoLine="0" autoPict="0">
                <anchor moveWithCells="1">
                  <from>
                    <xdr:col>2</xdr:col>
                    <xdr:colOff>45720</xdr:colOff>
                    <xdr:row>38</xdr:row>
                    <xdr:rowOff>7620</xdr:rowOff>
                  </from>
                  <to>
                    <xdr:col>18</xdr:col>
                    <xdr:colOff>411480</xdr:colOff>
                    <xdr:row>39</xdr:row>
                    <xdr:rowOff>0</xdr:rowOff>
                  </to>
                </anchor>
              </controlPr>
            </control>
          </mc:Choice>
        </mc:AlternateContent>
        <mc:AlternateContent xmlns:mc="http://schemas.openxmlformats.org/markup-compatibility/2006">
          <mc:Choice Requires="x14">
            <control shapeId="64524" r:id="rId15" name="Check Box 12">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64525" r:id="rId16" name="Check Box 13">
              <controlPr defaultSize="0" autoFill="0" autoLine="0" autoPict="0">
                <anchor moveWithCells="1">
                  <from>
                    <xdr:col>2</xdr:col>
                    <xdr:colOff>99060</xdr:colOff>
                    <xdr:row>32</xdr:row>
                    <xdr:rowOff>0</xdr:rowOff>
                  </from>
                  <to>
                    <xdr:col>5</xdr:col>
                    <xdr:colOff>68580</xdr:colOff>
                    <xdr:row>33</xdr:row>
                    <xdr:rowOff>7620</xdr:rowOff>
                  </to>
                </anchor>
              </controlPr>
            </control>
          </mc:Choice>
        </mc:AlternateContent>
        <mc:AlternateContent xmlns:mc="http://schemas.openxmlformats.org/markup-compatibility/2006">
          <mc:Choice Requires="x14">
            <control shapeId="64526" r:id="rId17" name="Check Box 14">
              <controlPr defaultSize="0" autoFill="0" autoLine="0" autoPict="0">
                <anchor moveWithCells="1">
                  <from>
                    <xdr:col>2</xdr:col>
                    <xdr:colOff>99060</xdr:colOff>
                    <xdr:row>34</xdr:row>
                    <xdr:rowOff>0</xdr:rowOff>
                  </from>
                  <to>
                    <xdr:col>6</xdr:col>
                    <xdr:colOff>426720</xdr:colOff>
                    <xdr:row>34</xdr:row>
                    <xdr:rowOff>160020</xdr:rowOff>
                  </to>
                </anchor>
              </controlPr>
            </control>
          </mc:Choice>
        </mc:AlternateContent>
        <mc:AlternateContent xmlns:mc="http://schemas.openxmlformats.org/markup-compatibility/2006">
          <mc:Choice Requires="x14">
            <control shapeId="64527" r:id="rId18" name="Check Box 15">
              <controlPr defaultSize="0" autoFill="0" autoLine="0" autoPict="0">
                <anchor moveWithCells="1">
                  <from>
                    <xdr:col>2</xdr:col>
                    <xdr:colOff>99060</xdr:colOff>
                    <xdr:row>32</xdr:row>
                    <xdr:rowOff>182880</xdr:rowOff>
                  </from>
                  <to>
                    <xdr:col>6</xdr:col>
                    <xdr:colOff>1394460</xdr:colOff>
                    <xdr:row>33</xdr:row>
                    <xdr:rowOff>182880</xdr:rowOff>
                  </to>
                </anchor>
              </controlPr>
            </control>
          </mc:Choice>
        </mc:AlternateContent>
        <mc:AlternateContent xmlns:mc="http://schemas.openxmlformats.org/markup-compatibility/2006">
          <mc:Choice Requires="x14">
            <control shapeId="64528" r:id="rId19" name="Check Box 16">
              <controlPr defaultSize="0" autoFill="0" autoLine="0" autoPict="0">
                <anchor moveWithCells="1">
                  <from>
                    <xdr:col>2</xdr:col>
                    <xdr:colOff>38100</xdr:colOff>
                    <xdr:row>36</xdr:row>
                    <xdr:rowOff>30480</xdr:rowOff>
                  </from>
                  <to>
                    <xdr:col>20</xdr:col>
                    <xdr:colOff>106680</xdr:colOff>
                    <xdr:row>36</xdr:row>
                    <xdr:rowOff>160020</xdr:rowOff>
                  </to>
                </anchor>
              </controlPr>
            </control>
          </mc:Choice>
        </mc:AlternateContent>
        <mc:AlternateContent xmlns:mc="http://schemas.openxmlformats.org/markup-compatibility/2006">
          <mc:Choice Requires="x14">
            <control shapeId="64529" r:id="rId20" name="Check Box 17">
              <controlPr defaultSize="0" autoFill="0" autoLine="0" autoPict="0">
                <anchor moveWithCells="1">
                  <from>
                    <xdr:col>2</xdr:col>
                    <xdr:colOff>45720</xdr:colOff>
                    <xdr:row>37</xdr:row>
                    <xdr:rowOff>30480</xdr:rowOff>
                  </from>
                  <to>
                    <xdr:col>20</xdr:col>
                    <xdr:colOff>495300</xdr:colOff>
                    <xdr:row>38</xdr:row>
                    <xdr:rowOff>0</xdr:rowOff>
                  </to>
                </anchor>
              </controlPr>
            </control>
          </mc:Choice>
        </mc:AlternateContent>
        <mc:AlternateContent xmlns:mc="http://schemas.openxmlformats.org/markup-compatibility/2006">
          <mc:Choice Requires="x14">
            <control shapeId="64530" r:id="rId21" name="Check Box 18">
              <controlPr defaultSize="0" autoFill="0" autoLine="0" autoPict="0">
                <anchor moveWithCells="1">
                  <from>
                    <xdr:col>2</xdr:col>
                    <xdr:colOff>45720</xdr:colOff>
                    <xdr:row>38</xdr:row>
                    <xdr:rowOff>7620</xdr:rowOff>
                  </from>
                  <to>
                    <xdr:col>18</xdr:col>
                    <xdr:colOff>411480</xdr:colOff>
                    <xdr:row>39</xdr:row>
                    <xdr:rowOff>0</xdr:rowOff>
                  </to>
                </anchor>
              </controlPr>
            </control>
          </mc:Choice>
        </mc:AlternateContent>
        <mc:AlternateContent xmlns:mc="http://schemas.openxmlformats.org/markup-compatibility/2006">
          <mc:Choice Requires="x14">
            <control shapeId="64531" r:id="rId22" name="Check Box 19">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64532" r:id="rId23" name="Check Box 20">
              <controlPr defaultSize="0" autoFill="0" autoLine="0" autoPict="0">
                <anchor moveWithCells="1">
                  <from>
                    <xdr:col>2</xdr:col>
                    <xdr:colOff>99060</xdr:colOff>
                    <xdr:row>32</xdr:row>
                    <xdr:rowOff>0</xdr:rowOff>
                  </from>
                  <to>
                    <xdr:col>5</xdr:col>
                    <xdr:colOff>68580</xdr:colOff>
                    <xdr:row>33</xdr:row>
                    <xdr:rowOff>7620</xdr:rowOff>
                  </to>
                </anchor>
              </controlPr>
            </control>
          </mc:Choice>
        </mc:AlternateContent>
        <mc:AlternateContent xmlns:mc="http://schemas.openxmlformats.org/markup-compatibility/2006">
          <mc:Choice Requires="x14">
            <control shapeId="64533" r:id="rId24" name="Check Box 21">
              <controlPr defaultSize="0" autoFill="0" autoLine="0" autoPict="0">
                <anchor moveWithCells="1">
                  <from>
                    <xdr:col>2</xdr:col>
                    <xdr:colOff>99060</xdr:colOff>
                    <xdr:row>34</xdr:row>
                    <xdr:rowOff>0</xdr:rowOff>
                  </from>
                  <to>
                    <xdr:col>6</xdr:col>
                    <xdr:colOff>426720</xdr:colOff>
                    <xdr:row>34</xdr:row>
                    <xdr:rowOff>160020</xdr:rowOff>
                  </to>
                </anchor>
              </controlPr>
            </control>
          </mc:Choice>
        </mc:AlternateContent>
        <mc:AlternateContent xmlns:mc="http://schemas.openxmlformats.org/markup-compatibility/2006">
          <mc:Choice Requires="x14">
            <control shapeId="64534" r:id="rId25" name="Check Box 22">
              <controlPr defaultSize="0" autoFill="0" autoLine="0" autoPict="0">
                <anchor moveWithCells="1">
                  <from>
                    <xdr:col>2</xdr:col>
                    <xdr:colOff>99060</xdr:colOff>
                    <xdr:row>32</xdr:row>
                    <xdr:rowOff>182880</xdr:rowOff>
                  </from>
                  <to>
                    <xdr:col>6</xdr:col>
                    <xdr:colOff>1394460</xdr:colOff>
                    <xdr:row>33</xdr:row>
                    <xdr:rowOff>182880</xdr:rowOff>
                  </to>
                </anchor>
              </controlPr>
            </control>
          </mc:Choice>
        </mc:AlternateContent>
        <mc:AlternateContent xmlns:mc="http://schemas.openxmlformats.org/markup-compatibility/2006">
          <mc:Choice Requires="x14">
            <control shapeId="64535" r:id="rId26" name="Check Box 23">
              <controlPr defaultSize="0" autoFill="0" autoLine="0" autoPict="0">
                <anchor moveWithCells="1">
                  <from>
                    <xdr:col>2</xdr:col>
                    <xdr:colOff>45720</xdr:colOff>
                    <xdr:row>38</xdr:row>
                    <xdr:rowOff>7620</xdr:rowOff>
                  </from>
                  <to>
                    <xdr:col>18</xdr:col>
                    <xdr:colOff>411480</xdr:colOff>
                    <xdr:row>39</xdr:row>
                    <xdr:rowOff>0</xdr:rowOff>
                  </to>
                </anchor>
              </controlPr>
            </control>
          </mc:Choice>
        </mc:AlternateContent>
        <mc:AlternateContent xmlns:mc="http://schemas.openxmlformats.org/markup-compatibility/2006">
          <mc:Choice Requires="x14">
            <control shapeId="64536" r:id="rId27" name="Check Box 24">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64538" r:id="rId28" name="Check Box 26">
              <controlPr defaultSize="0" autoFill="0" autoLine="0" autoPict="0">
                <anchor moveWithCells="1">
                  <from>
                    <xdr:col>2</xdr:col>
                    <xdr:colOff>83820</xdr:colOff>
                    <xdr:row>35</xdr:row>
                    <xdr:rowOff>7620</xdr:rowOff>
                  </from>
                  <to>
                    <xdr:col>6</xdr:col>
                    <xdr:colOff>784860</xdr:colOff>
                    <xdr:row>36</xdr:row>
                    <xdr:rowOff>38100</xdr:rowOff>
                  </to>
                </anchor>
              </controlPr>
            </control>
          </mc:Choice>
        </mc:AlternateContent>
        <mc:AlternateContent xmlns:mc="http://schemas.openxmlformats.org/markup-compatibility/2006">
          <mc:Choice Requires="x14">
            <control shapeId="64539" r:id="rId29" name="Check Box 27">
              <controlPr defaultSize="0" autoFill="0" autoLine="0" autoPict="0">
                <anchor moveWithCells="1">
                  <from>
                    <xdr:col>2</xdr:col>
                    <xdr:colOff>99060</xdr:colOff>
                    <xdr:row>36</xdr:row>
                    <xdr:rowOff>0</xdr:rowOff>
                  </from>
                  <to>
                    <xdr:col>5</xdr:col>
                    <xdr:colOff>144780</xdr:colOff>
                    <xdr:row>37</xdr:row>
                    <xdr:rowOff>30480</xdr:rowOff>
                  </to>
                </anchor>
              </controlPr>
            </control>
          </mc:Choice>
        </mc:AlternateContent>
        <mc:AlternateContent xmlns:mc="http://schemas.openxmlformats.org/markup-compatibility/2006">
          <mc:Choice Requires="x14">
            <control shapeId="64540" r:id="rId30" name="Check Box 28">
              <controlPr defaultSize="0" autoFill="0" autoLine="0" autoPict="0">
                <anchor moveWithCells="1">
                  <from>
                    <xdr:col>2</xdr:col>
                    <xdr:colOff>99060</xdr:colOff>
                    <xdr:row>38</xdr:row>
                    <xdr:rowOff>0</xdr:rowOff>
                  </from>
                  <to>
                    <xdr:col>6</xdr:col>
                    <xdr:colOff>426720</xdr:colOff>
                    <xdr:row>38</xdr:row>
                    <xdr:rowOff>160020</xdr:rowOff>
                  </to>
                </anchor>
              </controlPr>
            </control>
          </mc:Choice>
        </mc:AlternateContent>
        <mc:AlternateContent xmlns:mc="http://schemas.openxmlformats.org/markup-compatibility/2006">
          <mc:Choice Requires="x14">
            <control shapeId="64541" r:id="rId31" name="Check Box 29">
              <controlPr defaultSize="0" autoFill="0" autoLine="0" autoPict="0">
                <anchor moveWithCells="1">
                  <from>
                    <xdr:col>2</xdr:col>
                    <xdr:colOff>99060</xdr:colOff>
                    <xdr:row>36</xdr:row>
                    <xdr:rowOff>182880</xdr:rowOff>
                  </from>
                  <to>
                    <xdr:col>6</xdr:col>
                    <xdr:colOff>1341120</xdr:colOff>
                    <xdr:row>38</xdr:row>
                    <xdr:rowOff>0</xdr:rowOff>
                  </to>
                </anchor>
              </controlPr>
            </control>
          </mc:Choice>
        </mc:AlternateContent>
        <mc:AlternateContent xmlns:mc="http://schemas.openxmlformats.org/markup-compatibility/2006">
          <mc:Choice Requires="x14">
            <control shapeId="64542" r:id="rId32" name="Check Box 30">
              <controlPr defaultSize="0" autoFill="0" autoLine="0" autoPict="0">
                <anchor moveWithCells="1">
                  <from>
                    <xdr:col>2</xdr:col>
                    <xdr:colOff>38100</xdr:colOff>
                    <xdr:row>40</xdr:row>
                    <xdr:rowOff>30480</xdr:rowOff>
                  </from>
                  <to>
                    <xdr:col>20</xdr:col>
                    <xdr:colOff>83820</xdr:colOff>
                    <xdr:row>40</xdr:row>
                    <xdr:rowOff>160020</xdr:rowOff>
                  </to>
                </anchor>
              </controlPr>
            </control>
          </mc:Choice>
        </mc:AlternateContent>
        <mc:AlternateContent xmlns:mc="http://schemas.openxmlformats.org/markup-compatibility/2006">
          <mc:Choice Requires="x14">
            <control shapeId="64543" r:id="rId33" name="Check Box 31">
              <controlPr defaultSize="0" autoFill="0" autoLine="0" autoPict="0">
                <anchor moveWithCells="1">
                  <from>
                    <xdr:col>2</xdr:col>
                    <xdr:colOff>45720</xdr:colOff>
                    <xdr:row>41</xdr:row>
                    <xdr:rowOff>30480</xdr:rowOff>
                  </from>
                  <to>
                    <xdr:col>20</xdr:col>
                    <xdr:colOff>457200</xdr:colOff>
                    <xdr:row>42</xdr:row>
                    <xdr:rowOff>0</xdr:rowOff>
                  </to>
                </anchor>
              </controlPr>
            </control>
          </mc:Choice>
        </mc:AlternateContent>
        <mc:AlternateContent xmlns:mc="http://schemas.openxmlformats.org/markup-compatibility/2006">
          <mc:Choice Requires="x14">
            <control shapeId="64544" r:id="rId34" name="Check Box 32">
              <controlPr defaultSize="0" autoFill="0" autoLine="0" autoPict="0">
                <anchor moveWithCells="1">
                  <from>
                    <xdr:col>2</xdr:col>
                    <xdr:colOff>45720</xdr:colOff>
                    <xdr:row>42</xdr:row>
                    <xdr:rowOff>7620</xdr:rowOff>
                  </from>
                  <to>
                    <xdr:col>18</xdr:col>
                    <xdr:colOff>388620</xdr:colOff>
                    <xdr:row>43</xdr:row>
                    <xdr:rowOff>0</xdr:rowOff>
                  </to>
                </anchor>
              </controlPr>
            </control>
          </mc:Choice>
        </mc:AlternateContent>
        <mc:AlternateContent xmlns:mc="http://schemas.openxmlformats.org/markup-compatibility/2006">
          <mc:Choice Requires="x14">
            <control shapeId="64545" r:id="rId35" name="Check Box 33">
              <controlPr defaultSize="0" autoFill="0" autoLine="0" autoPict="0">
                <anchor moveWithCells="1">
                  <from>
                    <xdr:col>1</xdr:col>
                    <xdr:colOff>0</xdr:colOff>
                    <xdr:row>12</xdr:row>
                    <xdr:rowOff>0</xdr:rowOff>
                  </from>
                  <to>
                    <xdr:col>1</xdr:col>
                    <xdr:colOff>2933700</xdr:colOff>
                    <xdr:row>13</xdr:row>
                    <xdr:rowOff>7620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topLeftCell="A4" workbookViewId="0">
      <selection activeCell="I9" sqref="I9"/>
    </sheetView>
  </sheetViews>
  <sheetFormatPr defaultColWidth="9.109375" defaultRowHeight="15.6"/>
  <cols>
    <col min="1" max="1" width="9.109375" style="71"/>
    <col min="2" max="2" width="13.5546875" style="71" customWidth="1"/>
    <col min="3" max="3" width="11.44140625" style="71" customWidth="1"/>
    <col min="4" max="4" width="10.88671875" style="71" customWidth="1"/>
    <col min="5" max="5" width="11.44140625" style="71" customWidth="1"/>
    <col min="6" max="6" width="10.5546875" style="71" customWidth="1"/>
    <col min="7" max="7" width="10.33203125" style="71" customWidth="1"/>
    <col min="8" max="8" width="10.6640625" style="71" customWidth="1"/>
    <col min="9" max="9" width="57.44140625" style="71" customWidth="1"/>
    <col min="10" max="10" width="80.109375" style="71" customWidth="1"/>
    <col min="11" max="11" width="16.44140625" style="71" customWidth="1"/>
    <col min="12" max="12" width="45.6640625" style="71" customWidth="1"/>
    <col min="13" max="15" width="20.109375" style="71" customWidth="1"/>
    <col min="16" max="16" width="26.109375" style="71" customWidth="1"/>
    <col min="17" max="17" width="18.109375" style="71" customWidth="1"/>
    <col min="18" max="18" width="15.33203125" style="71" customWidth="1"/>
    <col min="19" max="19" width="15.6640625" style="71" customWidth="1"/>
    <col min="20" max="20" width="10.6640625" style="71" customWidth="1"/>
    <col min="21" max="21" width="11.44140625" style="71" customWidth="1"/>
    <col min="22" max="22" width="9.109375" style="71"/>
    <col min="23" max="23" width="14.88671875" style="71" hidden="1" customWidth="1"/>
    <col min="24" max="16384" width="9.109375" style="71"/>
  </cols>
  <sheetData>
    <row r="1" spans="1:16">
      <c r="A1" s="2" t="s">
        <v>176</v>
      </c>
    </row>
    <row r="2" spans="1:16" ht="18">
      <c r="A2" s="118"/>
    </row>
    <row r="3" spans="1:16">
      <c r="A3" s="2" t="s">
        <v>268</v>
      </c>
    </row>
    <row r="5" spans="1:16">
      <c r="B5" s="119" t="s">
        <v>725</v>
      </c>
      <c r="E5" s="811" t="s">
        <v>640</v>
      </c>
      <c r="F5" s="811"/>
      <c r="G5" s="811"/>
      <c r="H5" s="811"/>
      <c r="I5" s="811"/>
    </row>
    <row r="7" spans="1:16" ht="42" customHeight="1">
      <c r="B7" s="779" t="s">
        <v>5</v>
      </c>
      <c r="C7" s="779"/>
      <c r="D7" s="775" t="s">
        <v>124</v>
      </c>
      <c r="E7" s="775"/>
      <c r="F7" s="780" t="s">
        <v>123</v>
      </c>
      <c r="G7" s="781"/>
      <c r="H7" s="782"/>
      <c r="I7" s="773" t="s">
        <v>175</v>
      </c>
      <c r="J7" s="773" t="s">
        <v>174</v>
      </c>
      <c r="K7" s="773" t="s">
        <v>180</v>
      </c>
      <c r="L7" s="773" t="s">
        <v>181</v>
      </c>
      <c r="M7" s="775" t="s">
        <v>122</v>
      </c>
      <c r="N7" s="773" t="s">
        <v>121</v>
      </c>
      <c r="O7" s="773" t="s">
        <v>173</v>
      </c>
      <c r="P7" s="775" t="s">
        <v>183</v>
      </c>
    </row>
    <row r="8" spans="1:16" ht="22.5" customHeight="1">
      <c r="B8" s="354" t="s">
        <v>1</v>
      </c>
      <c r="C8" s="354" t="s">
        <v>20</v>
      </c>
      <c r="D8" s="353" t="s">
        <v>120</v>
      </c>
      <c r="E8" s="354" t="s">
        <v>20</v>
      </c>
      <c r="F8" s="354" t="s">
        <v>54</v>
      </c>
      <c r="G8" s="354" t="s">
        <v>72</v>
      </c>
      <c r="H8" s="354" t="s">
        <v>97</v>
      </c>
      <c r="I8" s="774"/>
      <c r="J8" s="774"/>
      <c r="K8" s="774"/>
      <c r="L8" s="774"/>
      <c r="M8" s="775"/>
      <c r="N8" s="774"/>
      <c r="O8" s="774"/>
      <c r="P8" s="775"/>
    </row>
    <row r="9" spans="1:16" ht="205.2">
      <c r="B9" s="355">
        <v>1016</v>
      </c>
      <c r="C9" s="355">
        <v>11004</v>
      </c>
      <c r="D9" s="355" t="s">
        <v>635</v>
      </c>
      <c r="E9" s="355" t="s">
        <v>620</v>
      </c>
      <c r="F9" s="359">
        <v>1579096</v>
      </c>
      <c r="G9" s="359">
        <v>1639767.58</v>
      </c>
      <c r="H9" s="359">
        <v>1730933.5</v>
      </c>
      <c r="I9" s="360" t="s">
        <v>617</v>
      </c>
      <c r="J9" s="360" t="s">
        <v>618</v>
      </c>
      <c r="K9" s="355"/>
      <c r="L9" s="360" t="s">
        <v>619</v>
      </c>
      <c r="M9" s="355">
        <v>2027</v>
      </c>
      <c r="N9" s="355">
        <v>2029</v>
      </c>
      <c r="O9" s="355"/>
      <c r="P9" s="355"/>
    </row>
    <row r="10" spans="1:16">
      <c r="B10" s="70" t="s">
        <v>9</v>
      </c>
      <c r="C10" s="70"/>
      <c r="D10" s="70"/>
      <c r="E10" s="70"/>
      <c r="F10" s="361">
        <f>F9</f>
        <v>1579096</v>
      </c>
      <c r="G10" s="361">
        <f>G9</f>
        <v>1639767.58</v>
      </c>
      <c r="H10" s="361">
        <f>H9</f>
        <v>1730933.5</v>
      </c>
      <c r="I10" s="70"/>
      <c r="J10" s="70"/>
      <c r="K10" s="151"/>
      <c r="L10" s="151"/>
      <c r="M10" s="151"/>
      <c r="N10" s="151"/>
      <c r="O10" s="151"/>
      <c r="P10" s="70"/>
    </row>
    <row r="11" spans="1:16" hidden="1">
      <c r="B11" s="776" t="s">
        <v>9</v>
      </c>
      <c r="C11" s="777"/>
      <c r="D11" s="777"/>
      <c r="E11" s="778"/>
      <c r="F11" s="147">
        <f>SUM(F9:F10)</f>
        <v>3158192</v>
      </c>
      <c r="G11" s="147">
        <f>SUM(G9:G10)</f>
        <v>3279535.16</v>
      </c>
      <c r="H11" s="147">
        <f>SUM(H9:H10)</f>
        <v>3461867</v>
      </c>
      <c r="I11" s="117" t="s">
        <v>39</v>
      </c>
      <c r="J11" s="117" t="s">
        <v>39</v>
      </c>
      <c r="K11" s="117" t="s">
        <v>39</v>
      </c>
      <c r="L11" s="117" t="s">
        <v>39</v>
      </c>
      <c r="M11" s="117"/>
      <c r="N11" s="117"/>
      <c r="O11" s="117"/>
      <c r="P11" s="117" t="s">
        <v>39</v>
      </c>
    </row>
    <row r="13" spans="1:16" ht="26.25" customHeight="1"/>
    <row r="14" spans="1:16" ht="15.6" hidden="1" customHeight="1"/>
  </sheetData>
  <mergeCells count="13">
    <mergeCell ref="E5:I5"/>
    <mergeCell ref="J7:J8"/>
    <mergeCell ref="K7:K8"/>
    <mergeCell ref="B11:E11"/>
    <mergeCell ref="B7:C7"/>
    <mergeCell ref="D7:E7"/>
    <mergeCell ref="F7:H7"/>
    <mergeCell ref="I7:I8"/>
    <mergeCell ref="L7:L8"/>
    <mergeCell ref="M7:M8"/>
    <mergeCell ref="N7:N8"/>
    <mergeCell ref="O7:O8"/>
    <mergeCell ref="P7:P8"/>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134"/>
  <sheetViews>
    <sheetView topLeftCell="A97" workbookViewId="0">
      <selection activeCell="C141" sqref="C141"/>
    </sheetView>
  </sheetViews>
  <sheetFormatPr defaultColWidth="9.109375" defaultRowHeight="13.2"/>
  <cols>
    <col min="1" max="1" width="7.88671875" style="514" customWidth="1"/>
    <col min="2" max="2" width="62.44140625" style="578" customWidth="1"/>
    <col min="3" max="3" width="39.109375" style="514" customWidth="1"/>
    <col min="4" max="4" width="16.5546875" style="514" customWidth="1"/>
    <col min="5" max="5" width="18.44140625" style="514" customWidth="1"/>
    <col min="6" max="6" width="12.33203125" style="514" customWidth="1"/>
    <col min="7" max="7" width="13.88671875" style="514" customWidth="1"/>
    <col min="8" max="16384" width="9.109375" style="514"/>
  </cols>
  <sheetData>
    <row r="1" spans="1:7" ht="30" customHeight="1">
      <c r="A1" s="513" t="s">
        <v>811</v>
      </c>
      <c r="B1" s="514"/>
      <c r="C1" s="515" t="s">
        <v>812</v>
      </c>
      <c r="D1" s="515"/>
      <c r="E1" s="513"/>
      <c r="F1" s="513"/>
    </row>
    <row r="2" spans="1:7" ht="52.5" customHeight="1">
      <c r="A2" s="690"/>
      <c r="B2" s="891" t="s">
        <v>620</v>
      </c>
      <c r="C2" s="891"/>
      <c r="D2" s="515"/>
      <c r="E2" s="513"/>
      <c r="F2" s="513"/>
    </row>
    <row r="3" spans="1:7" ht="30.75" customHeight="1">
      <c r="A3" s="611" t="s">
        <v>131</v>
      </c>
      <c r="B3" s="518"/>
      <c r="C3" s="515"/>
      <c r="D3" s="515"/>
      <c r="E3" s="513"/>
      <c r="F3" s="513"/>
    </row>
    <row r="4" spans="1:7">
      <c r="A4" s="690"/>
      <c r="B4" s="518"/>
      <c r="C4" s="515"/>
      <c r="D4" s="515"/>
      <c r="E4" s="513"/>
      <c r="F4" s="513"/>
    </row>
    <row r="5" spans="1:7" ht="67.5" customHeight="1">
      <c r="A5" s="690"/>
      <c r="B5" s="125" t="s">
        <v>995</v>
      </c>
      <c r="C5" s="475" t="s">
        <v>996</v>
      </c>
      <c r="D5" s="515"/>
      <c r="E5" s="513"/>
      <c r="F5" s="513"/>
      <c r="G5" s="513"/>
    </row>
    <row r="6" spans="1:7" ht="93.75" customHeight="1">
      <c r="A6" s="690"/>
      <c r="B6" s="125" t="s">
        <v>997</v>
      </c>
      <c r="C6" s="475" t="s">
        <v>998</v>
      </c>
      <c r="D6" s="502"/>
      <c r="E6" s="502"/>
      <c r="F6" s="502"/>
      <c r="G6" s="502"/>
    </row>
    <row r="7" spans="1:7">
      <c r="A7" s="690"/>
      <c r="B7" s="518"/>
      <c r="C7" s="515"/>
      <c r="D7" s="515"/>
      <c r="E7" s="513"/>
      <c r="F7" s="513"/>
      <c r="G7" s="513"/>
    </row>
    <row r="8" spans="1:7">
      <c r="A8" s="520" t="s">
        <v>137</v>
      </c>
      <c r="B8" s="518"/>
      <c r="C8" s="515"/>
      <c r="D8" s="515"/>
      <c r="E8" s="513"/>
      <c r="F8" s="513"/>
      <c r="G8" s="513"/>
    </row>
    <row r="9" spans="1:7">
      <c r="A9" s="520"/>
      <c r="B9" s="518"/>
      <c r="C9" s="515"/>
      <c r="D9" s="515"/>
      <c r="E9" s="513"/>
      <c r="F9" s="513"/>
      <c r="G9" s="513"/>
    </row>
    <row r="10" spans="1:7" ht="37.5" customHeight="1">
      <c r="A10" s="520"/>
      <c r="B10" s="691" t="s">
        <v>999</v>
      </c>
      <c r="C10" s="475" t="s">
        <v>635</v>
      </c>
      <c r="D10" s="692"/>
      <c r="E10" s="692"/>
      <c r="F10" s="692"/>
      <c r="G10" s="692"/>
    </row>
    <row r="11" spans="1:7" ht="13.8">
      <c r="A11" s="520"/>
      <c r="B11" s="125" t="s">
        <v>1000</v>
      </c>
      <c r="C11" s="126">
        <v>1016</v>
      </c>
      <c r="G11" s="513"/>
    </row>
    <row r="12" spans="1:7">
      <c r="A12" s="520"/>
      <c r="B12" s="522"/>
      <c r="C12" s="128"/>
      <c r="D12" s="515"/>
      <c r="E12" s="513"/>
      <c r="F12" s="513"/>
      <c r="G12" s="513"/>
    </row>
    <row r="13" spans="1:7">
      <c r="A13" s="520"/>
      <c r="B13" s="125" t="s">
        <v>138</v>
      </c>
      <c r="C13" s="126">
        <v>2027</v>
      </c>
      <c r="D13" s="515"/>
      <c r="E13" s="513"/>
      <c r="F13" s="513"/>
      <c r="G13" s="513"/>
    </row>
    <row r="14" spans="1:7" ht="13.8">
      <c r="A14" s="520"/>
      <c r="B14" s="125" t="s">
        <v>748</v>
      </c>
      <c r="C14" s="126" t="s">
        <v>647</v>
      </c>
      <c r="D14" s="515"/>
      <c r="E14" s="513"/>
      <c r="F14" s="513"/>
      <c r="G14" s="513"/>
    </row>
    <row r="15" spans="1:7">
      <c r="A15" s="520"/>
      <c r="B15" s="518"/>
      <c r="C15" s="115"/>
      <c r="D15" s="515"/>
      <c r="E15" s="513"/>
      <c r="F15" s="513"/>
      <c r="G15" s="513"/>
    </row>
    <row r="16" spans="1:7">
      <c r="A16" s="520" t="s">
        <v>139</v>
      </c>
      <c r="B16" s="518"/>
      <c r="C16" s="115"/>
      <c r="D16" s="515"/>
      <c r="E16" s="513"/>
      <c r="F16" s="513"/>
      <c r="G16" s="513"/>
    </row>
    <row r="17" spans="1:7" ht="60" customHeight="1">
      <c r="B17" s="693" t="s">
        <v>749</v>
      </c>
      <c r="C17" s="631" t="s">
        <v>620</v>
      </c>
      <c r="D17" s="694"/>
      <c r="E17" s="694"/>
      <c r="F17" s="694"/>
      <c r="G17" s="694"/>
    </row>
    <row r="18" spans="1:7" ht="13.8">
      <c r="A18" s="520"/>
      <c r="B18" s="125" t="s">
        <v>1001</v>
      </c>
      <c r="C18" s="126">
        <v>11004</v>
      </c>
      <c r="D18" s="515"/>
      <c r="E18" s="513"/>
      <c r="F18" s="513"/>
      <c r="G18" s="513"/>
    </row>
    <row r="19" spans="1:7">
      <c r="A19" s="520"/>
      <c r="B19" s="515"/>
      <c r="C19" s="531"/>
      <c r="D19" s="515"/>
      <c r="E19" s="513"/>
      <c r="F19" s="513"/>
      <c r="G19" s="513"/>
    </row>
    <row r="20" spans="1:7" ht="26.25" customHeight="1">
      <c r="A20" s="520"/>
      <c r="B20" s="125" t="s">
        <v>898</v>
      </c>
      <c r="C20" s="126" t="s">
        <v>128</v>
      </c>
      <c r="F20" s="513"/>
      <c r="G20" s="513"/>
    </row>
    <row r="21" spans="1:7">
      <c r="A21" s="520"/>
      <c r="B21" s="514"/>
      <c r="C21" s="523"/>
      <c r="F21" s="513"/>
      <c r="G21" s="513"/>
    </row>
    <row r="22" spans="1:7">
      <c r="A22" s="520"/>
      <c r="B22" s="518"/>
      <c r="C22" s="115"/>
      <c r="D22" s="515"/>
      <c r="E22" s="513"/>
      <c r="F22" s="513"/>
      <c r="G22" s="513"/>
    </row>
    <row r="23" spans="1:7" ht="13.8">
      <c r="A23" s="520"/>
      <c r="B23" s="125" t="s">
        <v>752</v>
      </c>
      <c r="C23" s="126" t="s">
        <v>129</v>
      </c>
      <c r="F23" s="513"/>
      <c r="G23" s="513"/>
    </row>
    <row r="24" spans="1:7">
      <c r="A24" s="520"/>
      <c r="B24" s="514"/>
      <c r="C24" s="523"/>
      <c r="D24" s="515"/>
      <c r="E24" s="513"/>
      <c r="F24" s="513"/>
      <c r="G24" s="513"/>
    </row>
    <row r="25" spans="1:7">
      <c r="A25" s="520"/>
      <c r="B25" s="518"/>
      <c r="C25" s="115"/>
      <c r="D25" s="515"/>
      <c r="E25" s="513"/>
      <c r="F25" s="513"/>
      <c r="G25" s="513"/>
    </row>
    <row r="26" spans="1:7" ht="15.75" customHeight="1">
      <c r="A26" s="520" t="s">
        <v>140</v>
      </c>
      <c r="B26" s="514"/>
      <c r="C26" s="518"/>
      <c r="D26" s="518"/>
      <c r="E26" s="518"/>
      <c r="F26" s="518"/>
      <c r="G26" s="518"/>
    </row>
    <row r="27" spans="1:7">
      <c r="B27" s="518"/>
      <c r="C27" s="518"/>
      <c r="D27" s="518"/>
      <c r="E27" s="518"/>
      <c r="F27" s="518"/>
      <c r="G27" s="518"/>
    </row>
    <row r="28" spans="1:7" ht="95.25" customHeight="1">
      <c r="B28" s="131" t="s">
        <v>823</v>
      </c>
      <c r="C28" s="131" t="s">
        <v>754</v>
      </c>
      <c r="D28" s="131" t="s">
        <v>755</v>
      </c>
      <c r="E28" s="131" t="s">
        <v>756</v>
      </c>
      <c r="F28" s="518"/>
      <c r="G28" s="518"/>
    </row>
    <row r="29" spans="1:7" ht="237.75" customHeight="1">
      <c r="B29" s="632" t="s">
        <v>134</v>
      </c>
      <c r="C29" s="500" t="s">
        <v>1002</v>
      </c>
      <c r="D29" s="372" t="s">
        <v>1003</v>
      </c>
      <c r="E29" s="500" t="s">
        <v>1004</v>
      </c>
      <c r="F29" s="73"/>
      <c r="G29" s="518"/>
    </row>
    <row r="30" spans="1:7">
      <c r="A30" s="520"/>
      <c r="B30" s="518"/>
      <c r="C30" s="115"/>
      <c r="D30" s="515"/>
      <c r="E30" s="513"/>
      <c r="F30" s="513"/>
      <c r="G30" s="513"/>
    </row>
    <row r="31" spans="1:7" s="527" customFormat="1" ht="20.25" customHeight="1">
      <c r="A31" s="520" t="s">
        <v>141</v>
      </c>
    </row>
    <row r="32" spans="1:7" s="527" customFormat="1" ht="6" customHeight="1"/>
    <row r="33" spans="1:7" s="527" customFormat="1" ht="81" customHeight="1">
      <c r="B33" s="125" t="s">
        <v>760</v>
      </c>
      <c r="C33" s="812" t="s">
        <v>1005</v>
      </c>
      <c r="D33" s="813"/>
      <c r="E33" s="813"/>
      <c r="F33" s="813"/>
      <c r="G33" s="814"/>
    </row>
    <row r="34" spans="1:7" s="527" customFormat="1" ht="17.25" customHeight="1"/>
    <row r="35" spans="1:7" s="527" customFormat="1" ht="16.5" customHeight="1">
      <c r="B35" s="789" t="s">
        <v>903</v>
      </c>
      <c r="C35" s="528" t="s">
        <v>588</v>
      </c>
    </row>
    <row r="36" spans="1:7" s="527" customFormat="1" ht="15" customHeight="1">
      <c r="B36" s="790"/>
    </row>
    <row r="37" spans="1:7" s="527" customFormat="1" ht="15" customHeight="1">
      <c r="B37" s="790"/>
    </row>
    <row r="38" spans="1:7" s="527" customFormat="1" ht="15" customHeight="1">
      <c r="B38" s="791"/>
      <c r="C38" s="529"/>
    </row>
    <row r="39" spans="1:7" s="527" customFormat="1" ht="15" customHeight="1"/>
    <row r="40" spans="1:7" s="527" customFormat="1" ht="13.5" customHeight="1">
      <c r="B40" s="789" t="s">
        <v>764</v>
      </c>
    </row>
    <row r="41" spans="1:7" s="527" customFormat="1">
      <c r="B41" s="790"/>
    </row>
    <row r="42" spans="1:7" s="527" customFormat="1">
      <c r="B42" s="791"/>
    </row>
    <row r="43" spans="1:7" s="527" customFormat="1"/>
    <row r="44" spans="1:7" s="527" customFormat="1"/>
    <row r="45" spans="1:7" s="527" customFormat="1" ht="13.8">
      <c r="A45" s="520" t="s">
        <v>832</v>
      </c>
    </row>
    <row r="46" spans="1:7" s="527" customFormat="1"/>
    <row r="47" spans="1:7" s="527" customFormat="1" ht="19.5" customHeight="1">
      <c r="B47" s="827" t="s">
        <v>1006</v>
      </c>
      <c r="C47" s="828"/>
      <c r="D47" s="828"/>
      <c r="E47" s="828"/>
      <c r="F47" s="828"/>
      <c r="G47" s="829"/>
    </row>
    <row r="48" spans="1:7" s="527" customFormat="1" ht="19.5" customHeight="1">
      <c r="B48" s="830"/>
      <c r="C48" s="831"/>
      <c r="D48" s="831"/>
      <c r="E48" s="831"/>
      <c r="F48" s="831"/>
      <c r="G48" s="832"/>
    </row>
    <row r="49" spans="1:7" s="527" customFormat="1" ht="19.5" customHeight="1">
      <c r="B49" s="830"/>
      <c r="C49" s="831"/>
      <c r="D49" s="831"/>
      <c r="E49" s="831"/>
      <c r="F49" s="831"/>
      <c r="G49" s="832"/>
    </row>
    <row r="50" spans="1:7" s="527" customFormat="1" ht="19.5" customHeight="1">
      <c r="B50" s="830"/>
      <c r="C50" s="831"/>
      <c r="D50" s="831"/>
      <c r="E50" s="831"/>
      <c r="F50" s="831"/>
      <c r="G50" s="832"/>
    </row>
    <row r="51" spans="1:7" s="527" customFormat="1" ht="19.5" customHeight="1">
      <c r="B51" s="830"/>
      <c r="C51" s="831"/>
      <c r="D51" s="831"/>
      <c r="E51" s="831"/>
      <c r="F51" s="831"/>
      <c r="G51" s="832"/>
    </row>
    <row r="52" spans="1:7" s="527" customFormat="1" ht="19.5" customHeight="1">
      <c r="B52" s="830"/>
      <c r="C52" s="831"/>
      <c r="D52" s="831"/>
      <c r="E52" s="831"/>
      <c r="F52" s="831"/>
      <c r="G52" s="832"/>
    </row>
    <row r="53" spans="1:7" s="527" customFormat="1" ht="19.5" customHeight="1">
      <c r="B53" s="830"/>
      <c r="C53" s="831"/>
      <c r="D53" s="831"/>
      <c r="E53" s="831"/>
      <c r="F53" s="831"/>
      <c r="G53" s="832"/>
    </row>
    <row r="54" spans="1:7" s="527" customFormat="1" ht="37.5" customHeight="1">
      <c r="B54" s="879"/>
      <c r="C54" s="880"/>
      <c r="D54" s="880"/>
      <c r="E54" s="880"/>
      <c r="F54" s="880"/>
      <c r="G54" s="881"/>
    </row>
    <row r="55" spans="1:7" s="527" customFormat="1" ht="15" customHeight="1"/>
    <row r="56" spans="1:7" s="527" customFormat="1" ht="24.75" customHeight="1">
      <c r="A56" s="520" t="s">
        <v>834</v>
      </c>
    </row>
    <row r="57" spans="1:7" s="527" customFormat="1" ht="15" customHeight="1"/>
    <row r="58" spans="1:7" s="527" customFormat="1" ht="29.25" customHeight="1">
      <c r="B58" s="827" t="s">
        <v>1007</v>
      </c>
      <c r="C58" s="828"/>
      <c r="D58" s="828"/>
      <c r="E58" s="828"/>
      <c r="F58" s="828"/>
      <c r="G58" s="829"/>
    </row>
    <row r="59" spans="1:7" s="527" customFormat="1" ht="29.25" customHeight="1">
      <c r="B59" s="830"/>
      <c r="C59" s="831"/>
      <c r="D59" s="831"/>
      <c r="E59" s="831"/>
      <c r="F59" s="831"/>
      <c r="G59" s="832"/>
    </row>
    <row r="60" spans="1:7" s="527" customFormat="1" ht="29.25" customHeight="1">
      <c r="B60" s="830"/>
      <c r="C60" s="831"/>
      <c r="D60" s="831"/>
      <c r="E60" s="831"/>
      <c r="F60" s="831"/>
      <c r="G60" s="832"/>
    </row>
    <row r="61" spans="1:7" s="527" customFormat="1" ht="20.25" customHeight="1">
      <c r="B61" s="879"/>
      <c r="C61" s="880"/>
      <c r="D61" s="880"/>
      <c r="E61" s="880"/>
      <c r="F61" s="880"/>
      <c r="G61" s="881"/>
    </row>
    <row r="62" spans="1:7" s="527" customFormat="1" ht="15" customHeight="1"/>
    <row r="63" spans="1:7" s="527" customFormat="1" ht="15" customHeight="1">
      <c r="A63" s="520" t="s">
        <v>835</v>
      </c>
    </row>
    <row r="64" spans="1:7" s="527" customFormat="1" ht="15" customHeight="1"/>
    <row r="65" spans="1:7" s="527" customFormat="1" ht="15" customHeight="1"/>
    <row r="66" spans="1:7" s="527" customFormat="1" ht="30.75" customHeight="1">
      <c r="B66" s="882" t="s">
        <v>1008</v>
      </c>
      <c r="C66" s="883"/>
      <c r="D66" s="883"/>
      <c r="E66" s="883"/>
      <c r="F66" s="883"/>
      <c r="G66" s="884"/>
    </row>
    <row r="67" spans="1:7" s="527" customFormat="1" ht="30.75" customHeight="1">
      <c r="B67" s="885"/>
      <c r="C67" s="886"/>
      <c r="D67" s="886"/>
      <c r="E67" s="886"/>
      <c r="F67" s="886"/>
      <c r="G67" s="887"/>
    </row>
    <row r="68" spans="1:7" s="527" customFormat="1" ht="30.75" customHeight="1">
      <c r="B68" s="885"/>
      <c r="C68" s="886"/>
      <c r="D68" s="886"/>
      <c r="E68" s="886"/>
      <c r="F68" s="886"/>
      <c r="G68" s="887"/>
    </row>
    <row r="69" spans="1:7" s="527" customFormat="1" ht="30.75" customHeight="1">
      <c r="B69" s="888"/>
      <c r="C69" s="889"/>
      <c r="D69" s="889"/>
      <c r="E69" s="889"/>
      <c r="F69" s="889"/>
      <c r="G69" s="890"/>
    </row>
    <row r="70" spans="1:7" s="527" customFormat="1"/>
    <row r="71" spans="1:7" s="527" customFormat="1">
      <c r="A71" s="520" t="s">
        <v>142</v>
      </c>
    </row>
    <row r="72" spans="1:7" s="527" customFormat="1"/>
    <row r="73" spans="1:7" s="527" customFormat="1" ht="21.75" customHeight="1">
      <c r="B73" s="786" t="s">
        <v>1009</v>
      </c>
      <c r="C73" s="786" t="s">
        <v>143</v>
      </c>
      <c r="D73" s="786" t="s">
        <v>799</v>
      </c>
      <c r="E73" s="786" t="s">
        <v>75</v>
      </c>
      <c r="F73" s="786" t="s">
        <v>800</v>
      </c>
      <c r="G73" s="470" t="s">
        <v>770</v>
      </c>
    </row>
    <row r="74" spans="1:7" s="527" customFormat="1">
      <c r="B74" s="787"/>
      <c r="C74" s="787"/>
      <c r="D74" s="787"/>
      <c r="E74" s="787"/>
      <c r="F74" s="787"/>
      <c r="G74" s="470" t="str">
        <f>C14</f>
        <v>շարունակական</v>
      </c>
    </row>
    <row r="75" spans="1:7" ht="26.4">
      <c r="B75" s="533" t="s">
        <v>1010</v>
      </c>
      <c r="C75" s="695" t="s">
        <v>775</v>
      </c>
      <c r="D75" s="696">
        <v>30</v>
      </c>
      <c r="E75" s="696">
        <v>60</v>
      </c>
      <c r="F75" s="697">
        <v>100</v>
      </c>
      <c r="G75" s="892" t="s">
        <v>647</v>
      </c>
    </row>
    <row r="76" spans="1:7" ht="26.4">
      <c r="B76" s="533" t="s">
        <v>1011</v>
      </c>
      <c r="C76" s="695" t="s">
        <v>775</v>
      </c>
      <c r="D76" s="696">
        <v>30</v>
      </c>
      <c r="E76" s="696">
        <v>60</v>
      </c>
      <c r="F76" s="697">
        <v>100</v>
      </c>
      <c r="G76" s="893"/>
    </row>
    <row r="77" spans="1:7" ht="36" customHeight="1">
      <c r="B77" s="533" t="s">
        <v>1012</v>
      </c>
      <c r="C77" s="695" t="s">
        <v>1013</v>
      </c>
      <c r="D77" s="696">
        <v>15</v>
      </c>
      <c r="E77" s="696">
        <v>15</v>
      </c>
      <c r="F77" s="697">
        <v>15</v>
      </c>
      <c r="G77" s="893"/>
    </row>
    <row r="78" spans="1:7" ht="31.5" customHeight="1">
      <c r="B78" s="533" t="s">
        <v>1014</v>
      </c>
      <c r="C78" s="695" t="s">
        <v>775</v>
      </c>
      <c r="D78" s="696">
        <v>30</v>
      </c>
      <c r="E78" s="696">
        <v>60</v>
      </c>
      <c r="F78" s="697">
        <v>100</v>
      </c>
      <c r="G78" s="893"/>
    </row>
    <row r="79" spans="1:7">
      <c r="B79" s="533" t="s">
        <v>1015</v>
      </c>
      <c r="C79" s="695" t="s">
        <v>1013</v>
      </c>
      <c r="D79" s="696">
        <v>6</v>
      </c>
      <c r="E79" s="696">
        <v>6</v>
      </c>
      <c r="F79" s="697">
        <v>6</v>
      </c>
      <c r="G79" s="893"/>
    </row>
    <row r="80" spans="1:7" ht="17.25" customHeight="1">
      <c r="B80" s="533" t="s">
        <v>1016</v>
      </c>
      <c r="C80" s="695" t="s">
        <v>1017</v>
      </c>
      <c r="D80" s="696">
        <v>6</v>
      </c>
      <c r="E80" s="696">
        <v>6</v>
      </c>
      <c r="F80" s="697">
        <v>6</v>
      </c>
      <c r="G80" s="893"/>
    </row>
    <row r="81" spans="1:7" ht="37.5" customHeight="1">
      <c r="B81" s="533" t="s">
        <v>1018</v>
      </c>
      <c r="C81" s="695" t="s">
        <v>772</v>
      </c>
      <c r="D81" s="696">
        <v>1</v>
      </c>
      <c r="E81" s="696">
        <v>3</v>
      </c>
      <c r="F81" s="697">
        <v>5</v>
      </c>
      <c r="G81" s="893"/>
    </row>
    <row r="82" spans="1:7" ht="30" customHeight="1">
      <c r="B82" s="533" t="s">
        <v>1019</v>
      </c>
      <c r="C82" s="695" t="s">
        <v>1020</v>
      </c>
      <c r="D82" s="696">
        <v>3</v>
      </c>
      <c r="E82" s="696">
        <v>3</v>
      </c>
      <c r="F82" s="697">
        <v>3</v>
      </c>
      <c r="G82" s="893"/>
    </row>
    <row r="83" spans="1:7" ht="26.4">
      <c r="B83" s="533" t="s">
        <v>1021</v>
      </c>
      <c r="C83" s="695" t="s">
        <v>775</v>
      </c>
      <c r="D83" s="696">
        <v>30</v>
      </c>
      <c r="E83" s="696">
        <v>60</v>
      </c>
      <c r="F83" s="697">
        <v>90</v>
      </c>
      <c r="G83" s="894"/>
    </row>
    <row r="84" spans="1:7">
      <c r="B84" s="533" t="s">
        <v>1022</v>
      </c>
      <c r="C84" s="695" t="s">
        <v>772</v>
      </c>
      <c r="D84" s="696">
        <v>1</v>
      </c>
      <c r="E84" s="696">
        <v>1</v>
      </c>
      <c r="F84" s="697">
        <v>1</v>
      </c>
      <c r="G84" s="892">
        <v>2029</v>
      </c>
    </row>
    <row r="85" spans="1:7">
      <c r="B85" s="533" t="s">
        <v>1023</v>
      </c>
      <c r="C85" s="695" t="s">
        <v>772</v>
      </c>
      <c r="D85" s="696">
        <v>1</v>
      </c>
      <c r="E85" s="696">
        <v>1</v>
      </c>
      <c r="F85" s="697">
        <v>1</v>
      </c>
      <c r="G85" s="893"/>
    </row>
    <row r="86" spans="1:7">
      <c r="B86" s="533" t="s">
        <v>1024</v>
      </c>
      <c r="C86" s="695" t="s">
        <v>772</v>
      </c>
      <c r="D86" s="696">
        <v>1</v>
      </c>
      <c r="E86" s="696">
        <v>1</v>
      </c>
      <c r="F86" s="697">
        <v>1</v>
      </c>
      <c r="G86" s="893"/>
    </row>
    <row r="87" spans="1:7">
      <c r="B87" s="533" t="s">
        <v>1025</v>
      </c>
      <c r="C87" s="695" t="s">
        <v>772</v>
      </c>
      <c r="D87" s="696">
        <v>1</v>
      </c>
      <c r="E87" s="696">
        <v>1</v>
      </c>
      <c r="F87" s="697">
        <v>1</v>
      </c>
      <c r="G87" s="893"/>
    </row>
    <row r="88" spans="1:7">
      <c r="B88" s="533" t="s">
        <v>1026</v>
      </c>
      <c r="C88" s="695" t="s">
        <v>775</v>
      </c>
      <c r="D88" s="696">
        <v>30</v>
      </c>
      <c r="E88" s="696">
        <v>60</v>
      </c>
      <c r="F88" s="697">
        <v>100</v>
      </c>
      <c r="G88" s="894"/>
    </row>
    <row r="89" spans="1:7">
      <c r="B89" s="527"/>
    </row>
    <row r="90" spans="1:7">
      <c r="A90" s="520" t="s">
        <v>144</v>
      </c>
      <c r="B90" s="527"/>
    </row>
    <row r="91" spans="1:7">
      <c r="B91" s="527"/>
    </row>
    <row r="92" spans="1:7" ht="42" customHeight="1">
      <c r="B92" s="786" t="s">
        <v>1027</v>
      </c>
      <c r="C92" s="786" t="s">
        <v>839</v>
      </c>
      <c r="D92" s="786" t="s">
        <v>799</v>
      </c>
      <c r="E92" s="786" t="s">
        <v>75</v>
      </c>
      <c r="F92" s="786" t="s">
        <v>800</v>
      </c>
      <c r="G92" s="470" t="s">
        <v>146</v>
      </c>
    </row>
    <row r="93" spans="1:7">
      <c r="B93" s="787"/>
      <c r="C93" s="787"/>
      <c r="D93" s="787"/>
      <c r="E93" s="787"/>
      <c r="F93" s="787"/>
      <c r="G93" s="470" t="str">
        <f>C14</f>
        <v>շարունակական</v>
      </c>
    </row>
    <row r="94" spans="1:7" ht="20.25" customHeight="1">
      <c r="B94" s="631" t="s">
        <v>1028</v>
      </c>
      <c r="C94" s="470"/>
      <c r="D94" s="698">
        <f>D95+D96+D97+D98</f>
        <v>247389.6</v>
      </c>
      <c r="E94" s="698">
        <f t="shared" ref="E94:F94" si="0">E95+E96+E97+E98</f>
        <v>297949.28000000003</v>
      </c>
      <c r="F94" s="698">
        <f t="shared" si="0"/>
        <v>373920.89999999997</v>
      </c>
      <c r="G94" s="699" t="s">
        <v>647</v>
      </c>
    </row>
    <row r="95" spans="1:7" ht="18.75" customHeight="1">
      <c r="B95" s="478" t="s">
        <v>1029</v>
      </c>
      <c r="C95" s="470" t="s">
        <v>10</v>
      </c>
      <c r="D95" s="548">
        <v>233996.4</v>
      </c>
      <c r="E95" s="548">
        <v>283993.5</v>
      </c>
      <c r="F95" s="549">
        <v>359393</v>
      </c>
      <c r="G95" s="700" t="s">
        <v>647</v>
      </c>
    </row>
    <row r="96" spans="1:7" ht="18.75" customHeight="1">
      <c r="B96" s="478" t="s">
        <v>1030</v>
      </c>
      <c r="C96" s="470"/>
      <c r="D96" s="548">
        <v>3000</v>
      </c>
      <c r="E96" s="548">
        <v>3155.78</v>
      </c>
      <c r="F96" s="549">
        <v>3326.1</v>
      </c>
      <c r="G96" s="700" t="s">
        <v>647</v>
      </c>
    </row>
    <row r="97" spans="1:7" ht="18.75" customHeight="1">
      <c r="B97" s="478" t="s">
        <v>1031</v>
      </c>
      <c r="C97" s="470"/>
      <c r="D97" s="548">
        <v>988.2</v>
      </c>
      <c r="E97" s="548">
        <v>1000</v>
      </c>
      <c r="F97" s="549">
        <v>1000</v>
      </c>
      <c r="G97" s="700" t="s">
        <v>647</v>
      </c>
    </row>
    <row r="98" spans="1:7" ht="18.75" customHeight="1">
      <c r="B98" s="478" t="s">
        <v>1032</v>
      </c>
      <c r="C98" s="470"/>
      <c r="D98" s="548">
        <v>9405</v>
      </c>
      <c r="E98" s="548">
        <v>9800</v>
      </c>
      <c r="F98" s="549">
        <v>10201.799999999999</v>
      </c>
      <c r="G98" s="700" t="s">
        <v>647</v>
      </c>
    </row>
    <row r="99" spans="1:7" ht="19.5" customHeight="1">
      <c r="B99" s="631" t="s">
        <v>1033</v>
      </c>
      <c r="C99" s="470"/>
      <c r="D99" s="698">
        <f>D100+D101+D102+D103+D104</f>
        <v>1068523.7</v>
      </c>
      <c r="E99" s="698">
        <f t="shared" ref="E99:F99" si="1">E100+E101+E102+E103+E104</f>
        <v>1068523.7</v>
      </c>
      <c r="F99" s="698">
        <f t="shared" si="1"/>
        <v>1068523.7</v>
      </c>
      <c r="G99" s="699" t="s">
        <v>800</v>
      </c>
    </row>
    <row r="100" spans="1:7">
      <c r="B100" s="478" t="s">
        <v>1034</v>
      </c>
      <c r="C100" s="470"/>
      <c r="D100" s="548">
        <v>720000</v>
      </c>
      <c r="E100" s="548">
        <v>720000</v>
      </c>
      <c r="F100" s="549">
        <v>720000</v>
      </c>
      <c r="G100" s="699" t="s">
        <v>800</v>
      </c>
    </row>
    <row r="101" spans="1:7">
      <c r="B101" s="478" t="s">
        <v>1035</v>
      </c>
      <c r="C101" s="470"/>
      <c r="D101" s="548">
        <v>23300.3</v>
      </c>
      <c r="E101" s="548">
        <v>23300.3</v>
      </c>
      <c r="F101" s="549">
        <v>23300.3</v>
      </c>
      <c r="G101" s="699" t="s">
        <v>800</v>
      </c>
    </row>
    <row r="102" spans="1:7">
      <c r="B102" s="478" t="s">
        <v>1036</v>
      </c>
      <c r="C102" s="470"/>
      <c r="D102" s="548">
        <v>6700</v>
      </c>
      <c r="E102" s="548">
        <v>6700</v>
      </c>
      <c r="F102" s="549">
        <v>6700</v>
      </c>
      <c r="G102" s="699" t="s">
        <v>800</v>
      </c>
    </row>
    <row r="103" spans="1:7">
      <c r="B103" s="478" t="s">
        <v>1037</v>
      </c>
      <c r="C103" s="470"/>
      <c r="D103" s="548">
        <v>85256.6</v>
      </c>
      <c r="E103" s="548">
        <v>85256.6</v>
      </c>
      <c r="F103" s="549">
        <v>85256.6</v>
      </c>
      <c r="G103" s="699" t="s">
        <v>800</v>
      </c>
    </row>
    <row r="104" spans="1:7">
      <c r="B104" s="478" t="s">
        <v>1038</v>
      </c>
      <c r="C104" s="470" t="s">
        <v>10</v>
      </c>
      <c r="D104" s="548">
        <v>233266.8</v>
      </c>
      <c r="E104" s="548">
        <v>233266.8</v>
      </c>
      <c r="F104" s="550">
        <v>233266.8</v>
      </c>
      <c r="G104" s="699" t="s">
        <v>800</v>
      </c>
    </row>
    <row r="105" spans="1:7">
      <c r="B105" s="564" t="s">
        <v>9</v>
      </c>
      <c r="C105" s="142" t="s">
        <v>10</v>
      </c>
      <c r="D105" s="701">
        <f>D94+D99</f>
        <v>1315913.3</v>
      </c>
      <c r="E105" s="701">
        <f>E94+E99</f>
        <v>1366472.98</v>
      </c>
      <c r="F105" s="701">
        <f>F94+F99</f>
        <v>1442444.5999999999</v>
      </c>
      <c r="G105" s="142">
        <f>SUM(G95:G104)</f>
        <v>0</v>
      </c>
    </row>
    <row r="106" spans="1:7" s="702" customFormat="1">
      <c r="B106" s="703" t="s">
        <v>1039</v>
      </c>
      <c r="C106" s="704"/>
      <c r="D106" s="705">
        <v>263182.7</v>
      </c>
      <c r="E106" s="705">
        <v>273294.59999999998</v>
      </c>
      <c r="F106" s="705">
        <v>288488.90000000002</v>
      </c>
      <c r="G106" s="704"/>
    </row>
    <row r="107" spans="1:7" s="702" customFormat="1">
      <c r="B107" s="703" t="s">
        <v>1040</v>
      </c>
      <c r="C107" s="704"/>
      <c r="D107" s="705">
        <f>D105+D106</f>
        <v>1579096</v>
      </c>
      <c r="E107" s="705">
        <f>SUM(E105:E106)</f>
        <v>1639767.58</v>
      </c>
      <c r="F107" s="705">
        <f>SUM(F105:F106)</f>
        <v>1730933.5</v>
      </c>
      <c r="G107" s="704"/>
    </row>
    <row r="108" spans="1:7" ht="14.4">
      <c r="A108" s="520" t="s">
        <v>147</v>
      </c>
      <c r="B108" s="514"/>
      <c r="D108" s="706"/>
      <c r="E108" s="706"/>
      <c r="F108" s="706"/>
      <c r="G108" s="706"/>
    </row>
    <row r="109" spans="1:7" ht="12">
      <c r="B109" s="514"/>
    </row>
    <row r="110" spans="1:7" ht="24" customHeight="1">
      <c r="B110" s="786" t="s">
        <v>1041</v>
      </c>
      <c r="C110" s="786" t="s">
        <v>918</v>
      </c>
      <c r="D110" s="786" t="s">
        <v>799</v>
      </c>
      <c r="E110" s="786" t="s">
        <v>75</v>
      </c>
      <c r="F110" s="786" t="s">
        <v>800</v>
      </c>
      <c r="G110" s="470" t="s">
        <v>146</v>
      </c>
    </row>
    <row r="111" spans="1:7" ht="27" customHeight="1">
      <c r="B111" s="787"/>
      <c r="C111" s="787"/>
      <c r="D111" s="787"/>
      <c r="E111" s="787"/>
      <c r="F111" s="787"/>
      <c r="G111" s="470" t="str">
        <f>C14</f>
        <v>շարունակական</v>
      </c>
    </row>
    <row r="112" spans="1:7">
      <c r="B112" s="469" t="s">
        <v>148</v>
      </c>
      <c r="C112" s="626" t="s">
        <v>10</v>
      </c>
      <c r="D112" s="707">
        <f>D107</f>
        <v>1579096</v>
      </c>
      <c r="E112" s="707">
        <f>E107</f>
        <v>1639767.58</v>
      </c>
      <c r="F112" s="707">
        <f>F107</f>
        <v>1730933.5</v>
      </c>
      <c r="G112" s="142">
        <f>G105</f>
        <v>0</v>
      </c>
    </row>
    <row r="113" spans="1:7">
      <c r="B113" s="144" t="s">
        <v>149</v>
      </c>
      <c r="C113" s="626" t="s">
        <v>10</v>
      </c>
      <c r="D113" s="708">
        <f>D112</f>
        <v>1579096</v>
      </c>
      <c r="E113" s="708">
        <f>E112</f>
        <v>1639767.58</v>
      </c>
      <c r="F113" s="709">
        <f>F112</f>
        <v>1730933.5</v>
      </c>
      <c r="G113" s="710"/>
    </row>
    <row r="114" spans="1:7" ht="15" customHeight="1">
      <c r="B114" s="145" t="s">
        <v>150</v>
      </c>
      <c r="C114" s="626" t="s">
        <v>10</v>
      </c>
      <c r="D114" s="372"/>
      <c r="E114" s="372"/>
      <c r="F114" s="623"/>
      <c r="G114" s="711"/>
    </row>
    <row r="115" spans="1:7">
      <c r="B115" s="144" t="s">
        <v>151</v>
      </c>
      <c r="C115" s="626" t="s">
        <v>10</v>
      </c>
      <c r="D115" s="142">
        <f>SUM(D116:D117)</f>
        <v>0</v>
      </c>
      <c r="E115" s="142">
        <f t="shared" ref="E115:G115" si="2">SUM(E116:E117)</f>
        <v>0</v>
      </c>
      <c r="F115" s="142">
        <f t="shared" si="2"/>
        <v>0</v>
      </c>
      <c r="G115" s="142">
        <f t="shared" si="2"/>
        <v>0</v>
      </c>
    </row>
    <row r="116" spans="1:7">
      <c r="B116" s="478"/>
      <c r="C116" s="626" t="s">
        <v>10</v>
      </c>
      <c r="D116" s="712"/>
      <c r="E116" s="372"/>
      <c r="F116" s="623"/>
      <c r="G116" s="711"/>
    </row>
    <row r="117" spans="1:7">
      <c r="B117" s="478"/>
      <c r="C117" s="626" t="s">
        <v>10</v>
      </c>
      <c r="D117" s="712"/>
      <c r="E117" s="372"/>
      <c r="F117" s="623"/>
      <c r="G117" s="711"/>
    </row>
    <row r="118" spans="1:7" ht="15.75" customHeight="1">
      <c r="B118" s="469" t="s">
        <v>152</v>
      </c>
      <c r="C118" s="626" t="s">
        <v>10</v>
      </c>
      <c r="D118" s="701">
        <f>D112-D115-D114</f>
        <v>1579096</v>
      </c>
      <c r="E118" s="701">
        <f t="shared" ref="E118:G118" si="3">E112-E115-E114</f>
        <v>1639767.58</v>
      </c>
      <c r="F118" s="701">
        <f t="shared" si="3"/>
        <v>1730933.5</v>
      </c>
      <c r="G118" s="142">
        <f t="shared" si="3"/>
        <v>0</v>
      </c>
    </row>
    <row r="119" spans="1:7" ht="12">
      <c r="B119" s="514"/>
    </row>
    <row r="120" spans="1:7" ht="19.5" customHeight="1">
      <c r="A120" s="520" t="s">
        <v>185</v>
      </c>
      <c r="B120" s="514"/>
    </row>
    <row r="121" spans="1:7" ht="21" customHeight="1">
      <c r="B121" s="514"/>
    </row>
    <row r="122" spans="1:7" ht="29.25" customHeight="1">
      <c r="B122" s="895" t="s">
        <v>1042</v>
      </c>
      <c r="C122" s="827" t="s">
        <v>1043</v>
      </c>
      <c r="D122" s="828"/>
      <c r="E122" s="828"/>
      <c r="F122" s="828"/>
      <c r="G122" s="829"/>
    </row>
    <row r="123" spans="1:7" ht="29.25" customHeight="1">
      <c r="B123" s="896"/>
      <c r="C123" s="830"/>
      <c r="D123" s="831"/>
      <c r="E123" s="831"/>
      <c r="F123" s="831"/>
      <c r="G123" s="832"/>
    </row>
    <row r="124" spans="1:7" ht="29.25" customHeight="1">
      <c r="B124" s="896"/>
      <c r="C124" s="830"/>
      <c r="D124" s="831"/>
      <c r="E124" s="831"/>
      <c r="F124" s="831"/>
      <c r="G124" s="832"/>
    </row>
    <row r="125" spans="1:7" ht="29.25" customHeight="1">
      <c r="B125" s="896"/>
      <c r="C125" s="830"/>
      <c r="D125" s="831"/>
      <c r="E125" s="831"/>
      <c r="F125" s="831"/>
      <c r="G125" s="832"/>
    </row>
    <row r="126" spans="1:7" ht="92.25" customHeight="1">
      <c r="B126" s="897"/>
      <c r="C126" s="879"/>
      <c r="D126" s="880"/>
      <c r="E126" s="880"/>
      <c r="F126" s="880"/>
      <c r="G126" s="881"/>
    </row>
    <row r="127" spans="1:7" ht="12">
      <c r="B127" s="514"/>
    </row>
    <row r="128" spans="1:7" ht="13.8">
      <c r="A128" s="520" t="s">
        <v>867</v>
      </c>
      <c r="B128" s="630"/>
    </row>
    <row r="129" spans="1:7" ht="12">
      <c r="B129" s="514"/>
    </row>
    <row r="130" spans="1:7">
      <c r="B130" s="469" t="s">
        <v>186</v>
      </c>
      <c r="C130" s="898"/>
      <c r="D130" s="899"/>
      <c r="E130" s="900"/>
    </row>
    <row r="131" spans="1:7">
      <c r="B131" s="469" t="s">
        <v>187</v>
      </c>
      <c r="C131" s="898"/>
      <c r="D131" s="899"/>
      <c r="E131" s="900"/>
    </row>
    <row r="132" spans="1:7" ht="24.75" customHeight="1">
      <c r="A132" s="520" t="s">
        <v>868</v>
      </c>
      <c r="B132" s="514"/>
    </row>
    <row r="133" spans="1:7" ht="12">
      <c r="B133" s="514"/>
    </row>
    <row r="134" spans="1:7" ht="123" customHeight="1">
      <c r="B134" s="901" t="s">
        <v>1044</v>
      </c>
      <c r="C134" s="902"/>
      <c r="D134" s="902"/>
      <c r="E134" s="902"/>
      <c r="F134" s="902"/>
      <c r="G134" s="903"/>
    </row>
  </sheetData>
  <mergeCells count="29">
    <mergeCell ref="B122:B126"/>
    <mergeCell ref="C122:G126"/>
    <mergeCell ref="C130:E130"/>
    <mergeCell ref="C131:E131"/>
    <mergeCell ref="B134:G134"/>
    <mergeCell ref="B110:B111"/>
    <mergeCell ref="C110:C111"/>
    <mergeCell ref="D110:D111"/>
    <mergeCell ref="E110:E111"/>
    <mergeCell ref="F110:F111"/>
    <mergeCell ref="G75:G83"/>
    <mergeCell ref="G84:G88"/>
    <mergeCell ref="B92:B93"/>
    <mergeCell ref="C92:C93"/>
    <mergeCell ref="D92:D93"/>
    <mergeCell ref="E92:E93"/>
    <mergeCell ref="F92:F93"/>
    <mergeCell ref="B2:C2"/>
    <mergeCell ref="C33:G33"/>
    <mergeCell ref="B35:B38"/>
    <mergeCell ref="B40:B42"/>
    <mergeCell ref="B47:G54"/>
    <mergeCell ref="B58:G61"/>
    <mergeCell ref="B66:G69"/>
    <mergeCell ref="B73:B74"/>
    <mergeCell ref="C73:C74"/>
    <mergeCell ref="D73:D74"/>
    <mergeCell ref="E73:E74"/>
    <mergeCell ref="F73:F74"/>
  </mergeCells>
  <dataValidations count="1">
    <dataValidation type="list" allowBlank="1" showInputMessage="1" showErrorMessage="1" sqref="B29 C20:C21 C23:C24">
      <formula1>#REF!</formula1>
    </dataValidation>
  </dataValidations>
  <hyperlinks>
    <hyperlink ref="C26" location="_ftn1" display="_ftn1"/>
    <hyperlink ref="D26" location="_ftn2" display="_ftn2"/>
    <hyperlink ref="E26" location="_ftn3" display="_ftn3"/>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6561" r:id="rId4" name="Check Box 1">
              <controlPr defaultSize="0" autoFill="0" autoLine="0" autoPict="0">
                <anchor moveWithCells="1">
                  <from>
                    <xdr:col>2</xdr:col>
                    <xdr:colOff>99060</xdr:colOff>
                    <xdr:row>32</xdr:row>
                    <xdr:rowOff>0</xdr:rowOff>
                  </from>
                  <to>
                    <xdr:col>3</xdr:col>
                    <xdr:colOff>426720</xdr:colOff>
                    <xdr:row>33</xdr:row>
                    <xdr:rowOff>7620</xdr:rowOff>
                  </to>
                </anchor>
              </controlPr>
            </control>
          </mc:Choice>
        </mc:AlternateContent>
        <mc:AlternateContent xmlns:mc="http://schemas.openxmlformats.org/markup-compatibility/2006">
          <mc:Choice Requires="x14">
            <control shapeId="66562" r:id="rId5" name="Check Box 2">
              <controlPr defaultSize="0" autoFill="0" autoLine="0" autoPict="0">
                <anchor moveWithCells="1">
                  <from>
                    <xdr:col>2</xdr:col>
                    <xdr:colOff>99060</xdr:colOff>
                    <xdr:row>34</xdr:row>
                    <xdr:rowOff>0</xdr:rowOff>
                  </from>
                  <to>
                    <xdr:col>4</xdr:col>
                    <xdr:colOff>655320</xdr:colOff>
                    <xdr:row>34</xdr:row>
                    <xdr:rowOff>160020</xdr:rowOff>
                  </to>
                </anchor>
              </controlPr>
            </control>
          </mc:Choice>
        </mc:AlternateContent>
        <mc:AlternateContent xmlns:mc="http://schemas.openxmlformats.org/markup-compatibility/2006">
          <mc:Choice Requires="x14">
            <control shapeId="66563" r:id="rId6" name="Check Box 3">
              <controlPr defaultSize="0" autoFill="0" autoLine="0" autoPict="0">
                <anchor moveWithCells="1">
                  <from>
                    <xdr:col>2</xdr:col>
                    <xdr:colOff>99060</xdr:colOff>
                    <xdr:row>32</xdr:row>
                    <xdr:rowOff>182880</xdr:rowOff>
                  </from>
                  <to>
                    <xdr:col>5</xdr:col>
                    <xdr:colOff>350520</xdr:colOff>
                    <xdr:row>33</xdr:row>
                    <xdr:rowOff>182880</xdr:rowOff>
                  </to>
                </anchor>
              </controlPr>
            </control>
          </mc:Choice>
        </mc:AlternateContent>
        <mc:AlternateContent xmlns:mc="http://schemas.openxmlformats.org/markup-compatibility/2006">
          <mc:Choice Requires="x14">
            <control shapeId="66564" r:id="rId7" name="Check Box 4">
              <controlPr defaultSize="0" autoFill="0" autoLine="0" autoPict="0">
                <anchor moveWithCells="1">
                  <from>
                    <xdr:col>2</xdr:col>
                    <xdr:colOff>38100</xdr:colOff>
                    <xdr:row>36</xdr:row>
                    <xdr:rowOff>30480</xdr:rowOff>
                  </from>
                  <to>
                    <xdr:col>15</xdr:col>
                    <xdr:colOff>464820</xdr:colOff>
                    <xdr:row>36</xdr:row>
                    <xdr:rowOff>160020</xdr:rowOff>
                  </to>
                </anchor>
              </controlPr>
            </control>
          </mc:Choice>
        </mc:AlternateContent>
        <mc:AlternateContent xmlns:mc="http://schemas.openxmlformats.org/markup-compatibility/2006">
          <mc:Choice Requires="x14">
            <control shapeId="66565" r:id="rId8" name="Check Box 5">
              <controlPr defaultSize="0" autoFill="0" autoLine="0" autoPict="0">
                <anchor moveWithCells="1">
                  <from>
                    <xdr:col>2</xdr:col>
                    <xdr:colOff>45720</xdr:colOff>
                    <xdr:row>37</xdr:row>
                    <xdr:rowOff>30480</xdr:rowOff>
                  </from>
                  <to>
                    <xdr:col>16</xdr:col>
                    <xdr:colOff>228600</xdr:colOff>
                    <xdr:row>38</xdr:row>
                    <xdr:rowOff>0</xdr:rowOff>
                  </to>
                </anchor>
              </controlPr>
            </control>
          </mc:Choice>
        </mc:AlternateContent>
        <mc:AlternateContent xmlns:mc="http://schemas.openxmlformats.org/markup-compatibility/2006">
          <mc:Choice Requires="x14">
            <control shapeId="66566" r:id="rId9" name="Check Box 6">
              <controlPr defaultSize="0" autoFill="0" autoLine="0" autoPict="0">
                <anchor moveWithCells="1">
                  <from>
                    <xdr:col>2</xdr:col>
                    <xdr:colOff>45720</xdr:colOff>
                    <xdr:row>38</xdr:row>
                    <xdr:rowOff>7620</xdr:rowOff>
                  </from>
                  <to>
                    <xdr:col>14</xdr:col>
                    <xdr:colOff>144780</xdr:colOff>
                    <xdr:row>39</xdr:row>
                    <xdr:rowOff>0</xdr:rowOff>
                  </to>
                </anchor>
              </controlPr>
            </control>
          </mc:Choice>
        </mc:AlternateContent>
        <mc:AlternateContent xmlns:mc="http://schemas.openxmlformats.org/markup-compatibility/2006">
          <mc:Choice Requires="x14">
            <control shapeId="66567" r:id="rId10" name="Check Box 7">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66568" r:id="rId11" name="Check Box 8">
              <controlPr defaultSize="0" autoFill="0" autoLine="0" autoPict="0">
                <anchor moveWithCells="1">
                  <from>
                    <xdr:col>2</xdr:col>
                    <xdr:colOff>99060</xdr:colOff>
                    <xdr:row>32</xdr:row>
                    <xdr:rowOff>0</xdr:rowOff>
                  </from>
                  <to>
                    <xdr:col>3</xdr:col>
                    <xdr:colOff>426720</xdr:colOff>
                    <xdr:row>33</xdr:row>
                    <xdr:rowOff>7620</xdr:rowOff>
                  </to>
                </anchor>
              </controlPr>
            </control>
          </mc:Choice>
        </mc:AlternateContent>
        <mc:AlternateContent xmlns:mc="http://schemas.openxmlformats.org/markup-compatibility/2006">
          <mc:Choice Requires="x14">
            <control shapeId="66569" r:id="rId12" name="Check Box 9">
              <controlPr defaultSize="0" autoFill="0" autoLine="0" autoPict="0">
                <anchor moveWithCells="1">
                  <from>
                    <xdr:col>2</xdr:col>
                    <xdr:colOff>99060</xdr:colOff>
                    <xdr:row>34</xdr:row>
                    <xdr:rowOff>0</xdr:rowOff>
                  </from>
                  <to>
                    <xdr:col>4</xdr:col>
                    <xdr:colOff>655320</xdr:colOff>
                    <xdr:row>34</xdr:row>
                    <xdr:rowOff>160020</xdr:rowOff>
                  </to>
                </anchor>
              </controlPr>
            </control>
          </mc:Choice>
        </mc:AlternateContent>
        <mc:AlternateContent xmlns:mc="http://schemas.openxmlformats.org/markup-compatibility/2006">
          <mc:Choice Requires="x14">
            <control shapeId="66570" r:id="rId13" name="Check Box 10">
              <controlPr defaultSize="0" autoFill="0" autoLine="0" autoPict="0">
                <anchor moveWithCells="1">
                  <from>
                    <xdr:col>2</xdr:col>
                    <xdr:colOff>99060</xdr:colOff>
                    <xdr:row>32</xdr:row>
                    <xdr:rowOff>182880</xdr:rowOff>
                  </from>
                  <to>
                    <xdr:col>5</xdr:col>
                    <xdr:colOff>350520</xdr:colOff>
                    <xdr:row>33</xdr:row>
                    <xdr:rowOff>182880</xdr:rowOff>
                  </to>
                </anchor>
              </controlPr>
            </control>
          </mc:Choice>
        </mc:AlternateContent>
        <mc:AlternateContent xmlns:mc="http://schemas.openxmlformats.org/markup-compatibility/2006">
          <mc:Choice Requires="x14">
            <control shapeId="66571" r:id="rId14" name="Check Box 11">
              <controlPr defaultSize="0" autoFill="0" autoLine="0" autoPict="0">
                <anchor moveWithCells="1">
                  <from>
                    <xdr:col>2</xdr:col>
                    <xdr:colOff>45720</xdr:colOff>
                    <xdr:row>38</xdr:row>
                    <xdr:rowOff>7620</xdr:rowOff>
                  </from>
                  <to>
                    <xdr:col>14</xdr:col>
                    <xdr:colOff>144780</xdr:colOff>
                    <xdr:row>39</xdr:row>
                    <xdr:rowOff>0</xdr:rowOff>
                  </to>
                </anchor>
              </controlPr>
            </control>
          </mc:Choice>
        </mc:AlternateContent>
        <mc:AlternateContent xmlns:mc="http://schemas.openxmlformats.org/markup-compatibility/2006">
          <mc:Choice Requires="x14">
            <control shapeId="66572" r:id="rId15" name="Check Box 12">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66573" r:id="rId16" name="Check Box 13">
              <controlPr defaultSize="0" autoFill="0" autoLine="0" autoPict="0">
                <anchor moveWithCells="1">
                  <from>
                    <xdr:col>2</xdr:col>
                    <xdr:colOff>99060</xdr:colOff>
                    <xdr:row>32</xdr:row>
                    <xdr:rowOff>0</xdr:rowOff>
                  </from>
                  <to>
                    <xdr:col>3</xdr:col>
                    <xdr:colOff>426720</xdr:colOff>
                    <xdr:row>33</xdr:row>
                    <xdr:rowOff>7620</xdr:rowOff>
                  </to>
                </anchor>
              </controlPr>
            </control>
          </mc:Choice>
        </mc:AlternateContent>
        <mc:AlternateContent xmlns:mc="http://schemas.openxmlformats.org/markup-compatibility/2006">
          <mc:Choice Requires="x14">
            <control shapeId="66574" r:id="rId17" name="Check Box 14">
              <controlPr defaultSize="0" autoFill="0" autoLine="0" autoPict="0">
                <anchor moveWithCells="1">
                  <from>
                    <xdr:col>2</xdr:col>
                    <xdr:colOff>99060</xdr:colOff>
                    <xdr:row>34</xdr:row>
                    <xdr:rowOff>0</xdr:rowOff>
                  </from>
                  <to>
                    <xdr:col>4</xdr:col>
                    <xdr:colOff>655320</xdr:colOff>
                    <xdr:row>34</xdr:row>
                    <xdr:rowOff>160020</xdr:rowOff>
                  </to>
                </anchor>
              </controlPr>
            </control>
          </mc:Choice>
        </mc:AlternateContent>
        <mc:AlternateContent xmlns:mc="http://schemas.openxmlformats.org/markup-compatibility/2006">
          <mc:Choice Requires="x14">
            <control shapeId="66575" r:id="rId18" name="Check Box 15">
              <controlPr defaultSize="0" autoFill="0" autoLine="0" autoPict="0">
                <anchor moveWithCells="1">
                  <from>
                    <xdr:col>2</xdr:col>
                    <xdr:colOff>99060</xdr:colOff>
                    <xdr:row>32</xdr:row>
                    <xdr:rowOff>182880</xdr:rowOff>
                  </from>
                  <to>
                    <xdr:col>5</xdr:col>
                    <xdr:colOff>350520</xdr:colOff>
                    <xdr:row>33</xdr:row>
                    <xdr:rowOff>182880</xdr:rowOff>
                  </to>
                </anchor>
              </controlPr>
            </control>
          </mc:Choice>
        </mc:AlternateContent>
        <mc:AlternateContent xmlns:mc="http://schemas.openxmlformats.org/markup-compatibility/2006">
          <mc:Choice Requires="x14">
            <control shapeId="66576" r:id="rId19" name="Check Box 16">
              <controlPr defaultSize="0" autoFill="0" autoLine="0" autoPict="0">
                <anchor moveWithCells="1">
                  <from>
                    <xdr:col>2</xdr:col>
                    <xdr:colOff>38100</xdr:colOff>
                    <xdr:row>36</xdr:row>
                    <xdr:rowOff>30480</xdr:rowOff>
                  </from>
                  <to>
                    <xdr:col>15</xdr:col>
                    <xdr:colOff>464820</xdr:colOff>
                    <xdr:row>36</xdr:row>
                    <xdr:rowOff>160020</xdr:rowOff>
                  </to>
                </anchor>
              </controlPr>
            </control>
          </mc:Choice>
        </mc:AlternateContent>
        <mc:AlternateContent xmlns:mc="http://schemas.openxmlformats.org/markup-compatibility/2006">
          <mc:Choice Requires="x14">
            <control shapeId="66577" r:id="rId20" name="Check Box 17">
              <controlPr defaultSize="0" autoFill="0" autoLine="0" autoPict="0">
                <anchor moveWithCells="1">
                  <from>
                    <xdr:col>2</xdr:col>
                    <xdr:colOff>45720</xdr:colOff>
                    <xdr:row>37</xdr:row>
                    <xdr:rowOff>30480</xdr:rowOff>
                  </from>
                  <to>
                    <xdr:col>16</xdr:col>
                    <xdr:colOff>228600</xdr:colOff>
                    <xdr:row>38</xdr:row>
                    <xdr:rowOff>0</xdr:rowOff>
                  </to>
                </anchor>
              </controlPr>
            </control>
          </mc:Choice>
        </mc:AlternateContent>
        <mc:AlternateContent xmlns:mc="http://schemas.openxmlformats.org/markup-compatibility/2006">
          <mc:Choice Requires="x14">
            <control shapeId="66578" r:id="rId21" name="Check Box 18">
              <controlPr defaultSize="0" autoFill="0" autoLine="0" autoPict="0">
                <anchor moveWithCells="1">
                  <from>
                    <xdr:col>2</xdr:col>
                    <xdr:colOff>45720</xdr:colOff>
                    <xdr:row>38</xdr:row>
                    <xdr:rowOff>7620</xdr:rowOff>
                  </from>
                  <to>
                    <xdr:col>14</xdr:col>
                    <xdr:colOff>144780</xdr:colOff>
                    <xdr:row>39</xdr:row>
                    <xdr:rowOff>0</xdr:rowOff>
                  </to>
                </anchor>
              </controlPr>
            </control>
          </mc:Choice>
        </mc:AlternateContent>
        <mc:AlternateContent xmlns:mc="http://schemas.openxmlformats.org/markup-compatibility/2006">
          <mc:Choice Requires="x14">
            <control shapeId="66579" r:id="rId22" name="Check Box 19">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66580" r:id="rId23" name="Check Box 20">
              <controlPr defaultSize="0" autoFill="0" autoLine="0" autoPict="0">
                <anchor moveWithCells="1">
                  <from>
                    <xdr:col>2</xdr:col>
                    <xdr:colOff>99060</xdr:colOff>
                    <xdr:row>32</xdr:row>
                    <xdr:rowOff>0</xdr:rowOff>
                  </from>
                  <to>
                    <xdr:col>3</xdr:col>
                    <xdr:colOff>426720</xdr:colOff>
                    <xdr:row>33</xdr:row>
                    <xdr:rowOff>7620</xdr:rowOff>
                  </to>
                </anchor>
              </controlPr>
            </control>
          </mc:Choice>
        </mc:AlternateContent>
        <mc:AlternateContent xmlns:mc="http://schemas.openxmlformats.org/markup-compatibility/2006">
          <mc:Choice Requires="x14">
            <control shapeId="66581" r:id="rId24" name="Check Box 21">
              <controlPr defaultSize="0" autoFill="0" autoLine="0" autoPict="0">
                <anchor moveWithCells="1">
                  <from>
                    <xdr:col>2</xdr:col>
                    <xdr:colOff>99060</xdr:colOff>
                    <xdr:row>34</xdr:row>
                    <xdr:rowOff>0</xdr:rowOff>
                  </from>
                  <to>
                    <xdr:col>4</xdr:col>
                    <xdr:colOff>655320</xdr:colOff>
                    <xdr:row>34</xdr:row>
                    <xdr:rowOff>160020</xdr:rowOff>
                  </to>
                </anchor>
              </controlPr>
            </control>
          </mc:Choice>
        </mc:AlternateContent>
        <mc:AlternateContent xmlns:mc="http://schemas.openxmlformats.org/markup-compatibility/2006">
          <mc:Choice Requires="x14">
            <control shapeId="66582" r:id="rId25" name="Check Box 22">
              <controlPr defaultSize="0" autoFill="0" autoLine="0" autoPict="0">
                <anchor moveWithCells="1">
                  <from>
                    <xdr:col>2</xdr:col>
                    <xdr:colOff>99060</xdr:colOff>
                    <xdr:row>32</xdr:row>
                    <xdr:rowOff>182880</xdr:rowOff>
                  </from>
                  <to>
                    <xdr:col>5</xdr:col>
                    <xdr:colOff>350520</xdr:colOff>
                    <xdr:row>33</xdr:row>
                    <xdr:rowOff>182880</xdr:rowOff>
                  </to>
                </anchor>
              </controlPr>
            </control>
          </mc:Choice>
        </mc:AlternateContent>
        <mc:AlternateContent xmlns:mc="http://schemas.openxmlformats.org/markup-compatibility/2006">
          <mc:Choice Requires="x14">
            <control shapeId="66583" r:id="rId26" name="Check Box 23">
              <controlPr defaultSize="0" autoFill="0" autoLine="0" autoPict="0">
                <anchor moveWithCells="1">
                  <from>
                    <xdr:col>2</xdr:col>
                    <xdr:colOff>45720</xdr:colOff>
                    <xdr:row>38</xdr:row>
                    <xdr:rowOff>7620</xdr:rowOff>
                  </from>
                  <to>
                    <xdr:col>14</xdr:col>
                    <xdr:colOff>144780</xdr:colOff>
                    <xdr:row>39</xdr:row>
                    <xdr:rowOff>0</xdr:rowOff>
                  </to>
                </anchor>
              </controlPr>
            </control>
          </mc:Choice>
        </mc:AlternateContent>
        <mc:AlternateContent xmlns:mc="http://schemas.openxmlformats.org/markup-compatibility/2006">
          <mc:Choice Requires="x14">
            <control shapeId="66584" r:id="rId27" name="Check Box 24">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66585" r:id="rId28" name="Check Box 25">
              <controlPr defaultSize="0" autoFill="0" autoLine="0" autoPict="0">
                <anchor moveWithCells="1">
                  <from>
                    <xdr:col>2</xdr:col>
                    <xdr:colOff>99060</xdr:colOff>
                    <xdr:row>35</xdr:row>
                    <xdr:rowOff>0</xdr:rowOff>
                  </from>
                  <to>
                    <xdr:col>3</xdr:col>
                    <xdr:colOff>495300</xdr:colOff>
                    <xdr:row>36</xdr:row>
                    <xdr:rowOff>7620</xdr:rowOff>
                  </to>
                </anchor>
              </controlPr>
            </control>
          </mc:Choice>
        </mc:AlternateContent>
        <mc:AlternateContent xmlns:mc="http://schemas.openxmlformats.org/markup-compatibility/2006">
          <mc:Choice Requires="x14">
            <control shapeId="66586" r:id="rId29" name="Check Box 26">
              <controlPr defaultSize="0" autoFill="0" autoLine="0" autoPict="0">
                <anchor moveWithCells="1">
                  <from>
                    <xdr:col>2</xdr:col>
                    <xdr:colOff>99060</xdr:colOff>
                    <xdr:row>37</xdr:row>
                    <xdr:rowOff>0</xdr:rowOff>
                  </from>
                  <to>
                    <xdr:col>4</xdr:col>
                    <xdr:colOff>655320</xdr:colOff>
                    <xdr:row>37</xdr:row>
                    <xdr:rowOff>160020</xdr:rowOff>
                  </to>
                </anchor>
              </controlPr>
            </control>
          </mc:Choice>
        </mc:AlternateContent>
        <mc:AlternateContent xmlns:mc="http://schemas.openxmlformats.org/markup-compatibility/2006">
          <mc:Choice Requires="x14">
            <control shapeId="66587" r:id="rId30" name="Check Box 27">
              <controlPr defaultSize="0" autoFill="0" autoLine="0" autoPict="0">
                <anchor moveWithCells="1">
                  <from>
                    <xdr:col>2</xdr:col>
                    <xdr:colOff>99060</xdr:colOff>
                    <xdr:row>35</xdr:row>
                    <xdr:rowOff>182880</xdr:rowOff>
                  </from>
                  <to>
                    <xdr:col>5</xdr:col>
                    <xdr:colOff>342900</xdr:colOff>
                    <xdr:row>37</xdr:row>
                    <xdr:rowOff>22860</xdr:rowOff>
                  </to>
                </anchor>
              </controlPr>
            </control>
          </mc:Choice>
        </mc:AlternateContent>
        <mc:AlternateContent xmlns:mc="http://schemas.openxmlformats.org/markup-compatibility/2006">
          <mc:Choice Requires="x14">
            <control shapeId="66588" r:id="rId31" name="Check Box 28">
              <controlPr defaultSize="0" autoFill="0" autoLine="0" autoPict="0">
                <anchor moveWithCells="1">
                  <from>
                    <xdr:col>2</xdr:col>
                    <xdr:colOff>38100</xdr:colOff>
                    <xdr:row>39</xdr:row>
                    <xdr:rowOff>30480</xdr:rowOff>
                  </from>
                  <to>
                    <xdr:col>15</xdr:col>
                    <xdr:colOff>449580</xdr:colOff>
                    <xdr:row>39</xdr:row>
                    <xdr:rowOff>160020</xdr:rowOff>
                  </to>
                </anchor>
              </controlPr>
            </control>
          </mc:Choice>
        </mc:AlternateContent>
        <mc:AlternateContent xmlns:mc="http://schemas.openxmlformats.org/markup-compatibility/2006">
          <mc:Choice Requires="x14">
            <control shapeId="66589" r:id="rId32" name="Check Box 29">
              <controlPr defaultSize="0" autoFill="0" autoLine="0" autoPict="0">
                <anchor moveWithCells="1">
                  <from>
                    <xdr:col>2</xdr:col>
                    <xdr:colOff>45720</xdr:colOff>
                    <xdr:row>40</xdr:row>
                    <xdr:rowOff>30480</xdr:rowOff>
                  </from>
                  <to>
                    <xdr:col>16</xdr:col>
                    <xdr:colOff>213360</xdr:colOff>
                    <xdr:row>41</xdr:row>
                    <xdr:rowOff>0</xdr:rowOff>
                  </to>
                </anchor>
              </controlPr>
            </control>
          </mc:Choice>
        </mc:AlternateContent>
        <mc:AlternateContent xmlns:mc="http://schemas.openxmlformats.org/markup-compatibility/2006">
          <mc:Choice Requires="x14">
            <control shapeId="66590" r:id="rId33" name="Check Box 30">
              <controlPr defaultSize="0" autoFill="0" autoLine="0" autoPict="0">
                <anchor moveWithCells="1">
                  <from>
                    <xdr:col>2</xdr:col>
                    <xdr:colOff>45720</xdr:colOff>
                    <xdr:row>41</xdr:row>
                    <xdr:rowOff>7620</xdr:rowOff>
                  </from>
                  <to>
                    <xdr:col>14</xdr:col>
                    <xdr:colOff>144780</xdr:colOff>
                    <xdr:row>42</xdr:row>
                    <xdr:rowOff>0</xdr:rowOff>
                  </to>
                </anchor>
              </controlPr>
            </control>
          </mc:Choice>
        </mc:AlternateContent>
        <mc:AlternateContent xmlns:mc="http://schemas.openxmlformats.org/markup-compatibility/2006">
          <mc:Choice Requires="x14">
            <control shapeId="66591" r:id="rId34" name="Check Box 31">
              <controlPr defaultSize="0" autoFill="0" autoLine="0" autoPict="0">
                <anchor moveWithCells="1">
                  <from>
                    <xdr:col>1</xdr:col>
                    <xdr:colOff>0</xdr:colOff>
                    <xdr:row>11</xdr:row>
                    <xdr:rowOff>0</xdr:rowOff>
                  </from>
                  <to>
                    <xdr:col>1</xdr:col>
                    <xdr:colOff>2933700</xdr:colOff>
                    <xdr:row>12</xdr:row>
                    <xdr:rowOff>7620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workbookViewId="0">
      <selection activeCell="I9" sqref="I9"/>
    </sheetView>
  </sheetViews>
  <sheetFormatPr defaultColWidth="9.109375" defaultRowHeight="15.6"/>
  <cols>
    <col min="1" max="1" width="9.109375" style="71"/>
    <col min="2" max="2" width="13.5546875" style="71" customWidth="1"/>
    <col min="3" max="3" width="11.44140625" style="71" customWidth="1"/>
    <col min="4" max="4" width="10.88671875" style="71" customWidth="1"/>
    <col min="5" max="5" width="11.44140625" style="71" customWidth="1"/>
    <col min="6" max="6" width="10.88671875" style="71" customWidth="1"/>
    <col min="7" max="7" width="10" style="71" customWidth="1"/>
    <col min="8" max="8" width="10.6640625" style="71" customWidth="1"/>
    <col min="9" max="9" width="36.109375" style="71" customWidth="1"/>
    <col min="10" max="10" width="165.88671875" style="71" customWidth="1"/>
    <col min="11" max="11" width="16.44140625" style="71" customWidth="1"/>
    <col min="12" max="15" width="20.109375" style="71" customWidth="1"/>
    <col min="16" max="16" width="26.109375" style="71" customWidth="1"/>
    <col min="17" max="17" width="18.109375" style="71" customWidth="1"/>
    <col min="18" max="18" width="15.33203125" style="71" customWidth="1"/>
    <col min="19" max="19" width="15.6640625" style="71" customWidth="1"/>
    <col min="20" max="20" width="10.6640625" style="71" customWidth="1"/>
    <col min="21" max="21" width="11.44140625" style="71" customWidth="1"/>
    <col min="22" max="22" width="9.109375" style="71"/>
    <col min="23" max="23" width="14.88671875" style="71" hidden="1" customWidth="1"/>
    <col min="24" max="16384" width="9.109375" style="71"/>
  </cols>
  <sheetData>
    <row r="1" spans="1:16">
      <c r="A1" s="2" t="s">
        <v>176</v>
      </c>
    </row>
    <row r="2" spans="1:16" ht="18">
      <c r="A2" s="118"/>
    </row>
    <row r="3" spans="1:16">
      <c r="A3" s="2" t="s">
        <v>268</v>
      </c>
    </row>
    <row r="5" spans="1:16">
      <c r="B5" s="119" t="s">
        <v>725</v>
      </c>
      <c r="E5" s="811" t="s">
        <v>640</v>
      </c>
      <c r="F5" s="811"/>
      <c r="G5" s="811"/>
      <c r="H5" s="811"/>
      <c r="I5" s="811"/>
    </row>
    <row r="7" spans="1:16" ht="42" customHeight="1">
      <c r="B7" s="779" t="s">
        <v>5</v>
      </c>
      <c r="C7" s="779"/>
      <c r="D7" s="775" t="s">
        <v>124</v>
      </c>
      <c r="E7" s="775"/>
      <c r="F7" s="780" t="s">
        <v>123</v>
      </c>
      <c r="G7" s="781"/>
      <c r="H7" s="782"/>
      <c r="I7" s="773" t="s">
        <v>175</v>
      </c>
      <c r="J7" s="773" t="s">
        <v>174</v>
      </c>
      <c r="K7" s="773" t="s">
        <v>180</v>
      </c>
      <c r="L7" s="773" t="s">
        <v>181</v>
      </c>
      <c r="M7" s="775" t="s">
        <v>122</v>
      </c>
      <c r="N7" s="773" t="s">
        <v>121</v>
      </c>
      <c r="O7" s="773" t="s">
        <v>173</v>
      </c>
      <c r="P7" s="775" t="s">
        <v>183</v>
      </c>
    </row>
    <row r="8" spans="1:16" ht="22.5" customHeight="1">
      <c r="B8" s="354" t="s">
        <v>1</v>
      </c>
      <c r="C8" s="354" t="s">
        <v>20</v>
      </c>
      <c r="D8" s="353" t="s">
        <v>120</v>
      </c>
      <c r="E8" s="354" t="s">
        <v>20</v>
      </c>
      <c r="F8" s="354" t="s">
        <v>54</v>
      </c>
      <c r="G8" s="354" t="s">
        <v>72</v>
      </c>
      <c r="H8" s="354" t="s">
        <v>97</v>
      </c>
      <c r="I8" s="774"/>
      <c r="J8" s="774"/>
      <c r="K8" s="774"/>
      <c r="L8" s="774"/>
      <c r="M8" s="775"/>
      <c r="N8" s="774"/>
      <c r="O8" s="774"/>
      <c r="P8" s="775"/>
    </row>
    <row r="9" spans="1:16" ht="334.8">
      <c r="B9" s="355">
        <v>1016</v>
      </c>
      <c r="C9" s="355">
        <v>11004</v>
      </c>
      <c r="D9" s="355" t="s">
        <v>625</v>
      </c>
      <c r="E9" s="355" t="s">
        <v>622</v>
      </c>
      <c r="F9" s="362">
        <v>900000</v>
      </c>
      <c r="G9" s="362">
        <v>505520</v>
      </c>
      <c r="H9" s="362">
        <v>846880</v>
      </c>
      <c r="I9" s="360" t="s">
        <v>636</v>
      </c>
      <c r="J9" s="360" t="s">
        <v>621</v>
      </c>
      <c r="K9" s="355"/>
      <c r="L9" s="360" t="s">
        <v>637</v>
      </c>
      <c r="M9" s="355">
        <v>2027</v>
      </c>
      <c r="N9" s="355" t="s">
        <v>587</v>
      </c>
      <c r="O9" s="355"/>
      <c r="P9" s="355"/>
    </row>
    <row r="10" spans="1:16">
      <c r="B10" s="70" t="s">
        <v>9</v>
      </c>
      <c r="C10" s="70"/>
      <c r="D10" s="70"/>
      <c r="E10" s="70"/>
      <c r="F10" s="366">
        <f>F9</f>
        <v>900000</v>
      </c>
      <c r="G10" s="366">
        <f>G9</f>
        <v>505520</v>
      </c>
      <c r="H10" s="366">
        <f>H9</f>
        <v>846880</v>
      </c>
      <c r="I10" s="70"/>
      <c r="J10" s="70"/>
      <c r="K10" s="151"/>
      <c r="L10" s="151"/>
      <c r="M10" s="151"/>
      <c r="N10" s="151"/>
      <c r="O10" s="151"/>
      <c r="P10" s="70"/>
    </row>
    <row r="11" spans="1:16" hidden="1">
      <c r="B11" s="776" t="s">
        <v>9</v>
      </c>
      <c r="C11" s="777"/>
      <c r="D11" s="777"/>
      <c r="E11" s="778"/>
      <c r="F11" s="365">
        <f>SUM(F9:F10)</f>
        <v>1800000</v>
      </c>
      <c r="G11" s="365">
        <f>SUM(G9:G10)</f>
        <v>1011040</v>
      </c>
      <c r="H11" s="365">
        <f>SUM(H9:H10)</f>
        <v>1693760</v>
      </c>
      <c r="I11" s="117" t="s">
        <v>39</v>
      </c>
      <c r="J11" s="117" t="s">
        <v>39</v>
      </c>
      <c r="K11" s="117" t="s">
        <v>39</v>
      </c>
      <c r="L11" s="117" t="s">
        <v>39</v>
      </c>
      <c r="M11" s="117"/>
      <c r="N11" s="117"/>
      <c r="O11" s="117"/>
      <c r="P11" s="117" t="s">
        <v>39</v>
      </c>
    </row>
    <row r="12" spans="1:16">
      <c r="F12" s="367"/>
      <c r="G12" s="367"/>
      <c r="H12" s="367"/>
    </row>
    <row r="13" spans="1:16" ht="26.25" customHeight="1">
      <c r="F13" s="367"/>
      <c r="G13" s="367"/>
      <c r="H13" s="367"/>
    </row>
    <row r="14" spans="1:16" ht="15.6" hidden="1" customHeight="1"/>
  </sheetData>
  <mergeCells count="13">
    <mergeCell ref="E5:I5"/>
    <mergeCell ref="J7:J8"/>
    <mergeCell ref="K7:K8"/>
    <mergeCell ref="B11:E11"/>
    <mergeCell ref="B7:C7"/>
    <mergeCell ref="D7:E7"/>
    <mergeCell ref="F7:H7"/>
    <mergeCell ref="I7:I8"/>
    <mergeCell ref="L7:L8"/>
    <mergeCell ref="M7:M8"/>
    <mergeCell ref="N7:N8"/>
    <mergeCell ref="O7:O8"/>
    <mergeCell ref="P7:P8"/>
  </mergeCell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03"/>
  <sheetViews>
    <sheetView topLeftCell="A82" workbookViewId="0">
      <selection activeCell="B109" sqref="B109"/>
    </sheetView>
  </sheetViews>
  <sheetFormatPr defaultColWidth="9.109375" defaultRowHeight="15"/>
  <cols>
    <col min="2" max="2" width="62.44140625" style="146" customWidth="1"/>
    <col min="3" max="3" width="58.88671875" bestFit="1" customWidth="1"/>
    <col min="4" max="4" width="32" customWidth="1"/>
    <col min="5" max="5" width="33.6640625" customWidth="1"/>
    <col min="6" max="6" width="15.6640625" customWidth="1"/>
    <col min="7" max="7" width="28.33203125" customWidth="1"/>
    <col min="8" max="8" width="4" hidden="1" customWidth="1"/>
    <col min="9" max="10" width="7.88671875" hidden="1" customWidth="1"/>
  </cols>
  <sheetData>
    <row r="1" spans="1:10" ht="18.600000000000001">
      <c r="A1" s="2" t="s">
        <v>739</v>
      </c>
      <c r="B1"/>
      <c r="C1" s="474"/>
      <c r="D1" s="474"/>
      <c r="E1" s="17"/>
      <c r="F1" s="17"/>
      <c r="H1" s="17" t="s">
        <v>125</v>
      </c>
      <c r="I1" s="17" t="s">
        <v>126</v>
      </c>
      <c r="J1" t="s">
        <v>127</v>
      </c>
    </row>
    <row r="2" spans="1:10" ht="18">
      <c r="A2" s="122"/>
      <c r="B2" s="118"/>
      <c r="C2" s="474"/>
      <c r="D2" s="474"/>
      <c r="E2" s="17"/>
      <c r="F2" s="17"/>
      <c r="H2" s="17" t="s">
        <v>128</v>
      </c>
      <c r="I2" t="s">
        <v>129</v>
      </c>
      <c r="J2" s="124" t="s">
        <v>130</v>
      </c>
    </row>
    <row r="3" spans="1:10" ht="18">
      <c r="A3" s="119" t="s">
        <v>131</v>
      </c>
      <c r="B3" s="118"/>
      <c r="C3" s="474"/>
      <c r="D3" s="474"/>
      <c r="E3" s="17"/>
      <c r="F3" s="17"/>
      <c r="H3" s="17" t="s">
        <v>132</v>
      </c>
      <c r="I3" t="s">
        <v>133</v>
      </c>
      <c r="J3" s="124" t="s">
        <v>134</v>
      </c>
    </row>
    <row r="4" spans="1:10" ht="18">
      <c r="A4" s="122"/>
      <c r="B4" s="118"/>
      <c r="C4" s="474"/>
      <c r="D4" s="474"/>
      <c r="E4" s="17"/>
      <c r="F4" s="17"/>
      <c r="H4" s="17" t="s">
        <v>135</v>
      </c>
      <c r="J4" s="124" t="s">
        <v>136</v>
      </c>
    </row>
    <row r="5" spans="1:10" ht="18">
      <c r="A5" s="122"/>
      <c r="B5" s="125" t="s">
        <v>741</v>
      </c>
      <c r="C5" s="126" t="s">
        <v>793</v>
      </c>
      <c r="D5" s="474"/>
      <c r="E5" s="17"/>
      <c r="F5" s="17"/>
      <c r="G5" s="17"/>
    </row>
    <row r="6" spans="1:10" ht="62.4" customHeight="1">
      <c r="A6" s="122"/>
      <c r="B6" s="125" t="s">
        <v>743</v>
      </c>
      <c r="C6" s="475"/>
      <c r="D6" s="474" t="s">
        <v>794</v>
      </c>
      <c r="E6" s="17"/>
      <c r="F6" s="17"/>
      <c r="G6" s="17"/>
    </row>
    <row r="7" spans="1:10" ht="18">
      <c r="A7" s="122"/>
      <c r="B7" s="118"/>
      <c r="C7" s="474"/>
      <c r="D7" s="474"/>
      <c r="E7" s="17"/>
      <c r="F7" s="17"/>
      <c r="G7" s="17"/>
    </row>
    <row r="8" spans="1:10" ht="18">
      <c r="A8" s="119" t="s">
        <v>137</v>
      </c>
      <c r="B8" s="118"/>
      <c r="C8" s="474"/>
      <c r="D8" s="474"/>
      <c r="E8" s="17"/>
      <c r="F8" s="17"/>
      <c r="G8" s="17"/>
    </row>
    <row r="9" spans="1:10" ht="18">
      <c r="A9" s="119"/>
      <c r="B9" s="118"/>
      <c r="C9" s="474"/>
      <c r="D9" s="474"/>
      <c r="E9" s="17"/>
      <c r="F9" s="17"/>
      <c r="G9" s="17"/>
    </row>
    <row r="10" spans="1:10" ht="18">
      <c r="A10" s="119"/>
      <c r="B10" s="125" t="s">
        <v>745</v>
      </c>
      <c r="C10" s="126" t="s">
        <v>625</v>
      </c>
      <c r="G10" s="17"/>
    </row>
    <row r="11" spans="1:10" ht="18">
      <c r="A11" s="119"/>
      <c r="B11" s="125" t="s">
        <v>746</v>
      </c>
      <c r="C11" s="126"/>
      <c r="D11" s="474"/>
      <c r="G11" s="17"/>
    </row>
    <row r="12" spans="1:10" ht="18">
      <c r="A12" s="119"/>
      <c r="B12" s="127"/>
      <c r="C12" s="128"/>
      <c r="D12" s="474"/>
      <c r="E12" s="17"/>
      <c r="F12" s="17"/>
      <c r="G12" s="17"/>
    </row>
    <row r="13" spans="1:10" ht="18">
      <c r="A13" s="119"/>
      <c r="B13" s="125" t="s">
        <v>138</v>
      </c>
      <c r="C13" s="126">
        <v>2027</v>
      </c>
      <c r="D13" s="474"/>
      <c r="E13" s="17"/>
      <c r="F13" s="17"/>
      <c r="G13" s="17"/>
    </row>
    <row r="14" spans="1:10" ht="18">
      <c r="A14" s="119"/>
      <c r="B14" s="125" t="s">
        <v>748</v>
      </c>
      <c r="C14" s="126">
        <v>2029</v>
      </c>
      <c r="D14" s="474"/>
      <c r="E14" s="17"/>
      <c r="F14" s="17"/>
      <c r="G14" s="17"/>
    </row>
    <row r="15" spans="1:10" ht="18">
      <c r="A15" s="119"/>
      <c r="B15" s="118"/>
      <c r="C15" s="115"/>
      <c r="D15" s="474"/>
      <c r="E15" s="17"/>
      <c r="F15" s="17"/>
      <c r="G15" s="17"/>
    </row>
    <row r="16" spans="1:10" ht="18">
      <c r="A16" s="119" t="s">
        <v>139</v>
      </c>
      <c r="B16" s="118"/>
      <c r="C16" s="115"/>
      <c r="D16" s="474"/>
      <c r="E16" s="17"/>
      <c r="F16" s="17"/>
      <c r="G16" s="17"/>
    </row>
    <row r="17" spans="1:10" ht="26.4">
      <c r="B17" s="125" t="s">
        <v>749</v>
      </c>
      <c r="C17" s="475" t="s">
        <v>622</v>
      </c>
      <c r="D17" s="474"/>
      <c r="E17" s="17"/>
      <c r="F17" s="17"/>
      <c r="G17" s="17"/>
    </row>
    <row r="18" spans="1:10" ht="18">
      <c r="A18" s="119"/>
      <c r="B18" s="125" t="s">
        <v>750</v>
      </c>
      <c r="C18" s="498"/>
      <c r="D18" s="474"/>
      <c r="E18" s="17"/>
      <c r="F18" s="17"/>
      <c r="G18" s="17"/>
    </row>
    <row r="19" spans="1:10" ht="18">
      <c r="A19" s="119"/>
      <c r="B19" s="474"/>
      <c r="C19" s="474"/>
      <c r="D19" s="474"/>
      <c r="E19" s="17"/>
      <c r="F19" s="17"/>
      <c r="G19" s="17"/>
    </row>
    <row r="20" spans="1:10" ht="26.25" customHeight="1">
      <c r="A20" s="119"/>
      <c r="B20" s="125" t="s">
        <v>751</v>
      </c>
      <c r="C20" s="129" t="s">
        <v>128</v>
      </c>
      <c r="F20" s="17"/>
      <c r="G20" s="17"/>
    </row>
    <row r="21" spans="1:10" ht="18">
      <c r="A21" s="119"/>
      <c r="B21"/>
      <c r="C21" s="130"/>
      <c r="F21" s="17"/>
      <c r="G21" s="17"/>
    </row>
    <row r="22" spans="1:10" ht="18">
      <c r="A22" s="119"/>
      <c r="B22" s="118"/>
      <c r="C22" s="115"/>
      <c r="D22" s="474"/>
      <c r="E22" s="17"/>
      <c r="F22" s="17"/>
      <c r="G22" s="17"/>
    </row>
    <row r="23" spans="1:10" ht="18">
      <c r="A23" s="119"/>
      <c r="B23" s="125" t="s">
        <v>752</v>
      </c>
      <c r="C23" s="129" t="s">
        <v>129</v>
      </c>
      <c r="F23" s="17"/>
      <c r="G23" s="17"/>
    </row>
    <row r="24" spans="1:10" ht="18">
      <c r="A24" s="119"/>
      <c r="B24"/>
      <c r="C24" s="130"/>
      <c r="D24" s="474"/>
      <c r="E24" s="17"/>
      <c r="F24" s="17"/>
      <c r="G24" s="17"/>
    </row>
    <row r="25" spans="1:10" ht="18">
      <c r="A25" s="119"/>
      <c r="B25" s="118"/>
      <c r="C25" s="115"/>
      <c r="D25" s="474"/>
      <c r="E25" s="17"/>
      <c r="F25" s="17"/>
      <c r="G25" s="17"/>
    </row>
    <row r="26" spans="1:10" ht="15.75" customHeight="1">
      <c r="A26" s="119" t="s">
        <v>140</v>
      </c>
      <c r="B26"/>
      <c r="C26" s="118"/>
      <c r="D26" s="118"/>
      <c r="E26" s="118"/>
      <c r="F26" s="118"/>
      <c r="G26" s="118"/>
      <c r="H26" s="118"/>
      <c r="I26" s="118"/>
      <c r="J26" s="118"/>
    </row>
    <row r="27" spans="1:10" ht="18">
      <c r="B27" s="118"/>
      <c r="C27" s="118"/>
      <c r="D27" s="118"/>
      <c r="E27" s="118"/>
      <c r="F27" s="118"/>
      <c r="G27" s="118"/>
      <c r="H27" s="118"/>
      <c r="I27" s="118"/>
      <c r="J27" s="118"/>
    </row>
    <row r="28" spans="1:10" ht="53.4">
      <c r="B28" s="131" t="s">
        <v>753</v>
      </c>
      <c r="C28" s="131" t="s">
        <v>754</v>
      </c>
      <c r="D28" s="131" t="s">
        <v>755</v>
      </c>
      <c r="E28" s="131" t="s">
        <v>756</v>
      </c>
      <c r="F28" s="118"/>
      <c r="G28" s="118"/>
      <c r="H28" s="118"/>
      <c r="I28" s="118"/>
      <c r="J28" s="118"/>
    </row>
    <row r="29" spans="1:10" ht="409.6">
      <c r="B29" s="499" t="s">
        <v>130</v>
      </c>
      <c r="C29" s="500" t="s">
        <v>1045</v>
      </c>
      <c r="D29" s="500" t="s">
        <v>758</v>
      </c>
      <c r="E29" s="500" t="s">
        <v>1046</v>
      </c>
      <c r="F29" s="71"/>
      <c r="G29" s="118"/>
      <c r="H29" s="118"/>
      <c r="I29" s="118"/>
      <c r="J29" s="71"/>
    </row>
    <row r="30" spans="1:10" ht="18">
      <c r="A30" s="119"/>
      <c r="B30" s="118"/>
      <c r="C30" s="115"/>
      <c r="D30" s="474"/>
      <c r="E30" s="17"/>
      <c r="F30" s="17"/>
      <c r="G30" s="17"/>
    </row>
    <row r="31" spans="1:10" s="479" customFormat="1" ht="20.25" customHeight="1">
      <c r="A31" s="119" t="s">
        <v>141</v>
      </c>
    </row>
    <row r="32" spans="1:10" s="479" customFormat="1" ht="15" customHeight="1"/>
    <row r="33" spans="1:5" s="479" customFormat="1" ht="198">
      <c r="B33" s="125" t="s">
        <v>760</v>
      </c>
      <c r="C33" s="501" t="s">
        <v>636</v>
      </c>
    </row>
    <row r="34" spans="1:5" s="479" customFormat="1" ht="17.25" customHeight="1"/>
    <row r="35" spans="1:5" s="479" customFormat="1" ht="16.5" customHeight="1">
      <c r="B35" s="789" t="s">
        <v>762</v>
      </c>
      <c r="C35" s="481" t="s">
        <v>763</v>
      </c>
    </row>
    <row r="36" spans="1:5" s="479" customFormat="1" ht="15" customHeight="1">
      <c r="B36" s="790"/>
    </row>
    <row r="37" spans="1:5" s="479" customFormat="1" ht="15" customHeight="1">
      <c r="B37" s="790"/>
    </row>
    <row r="38" spans="1:5" s="479" customFormat="1" ht="15" customHeight="1">
      <c r="B38" s="791"/>
      <c r="C38" s="482"/>
    </row>
    <row r="39" spans="1:5" s="479" customFormat="1" ht="15" customHeight="1"/>
    <row r="40" spans="1:5" s="479" customFormat="1" ht="13.5" customHeight="1">
      <c r="B40" s="789" t="s">
        <v>764</v>
      </c>
    </row>
    <row r="41" spans="1:5" s="479" customFormat="1">
      <c r="B41" s="790"/>
    </row>
    <row r="42" spans="1:5" s="479" customFormat="1">
      <c r="B42" s="791"/>
    </row>
    <row r="43" spans="1:5" s="479" customFormat="1"/>
    <row r="44" spans="1:5" s="479" customFormat="1"/>
    <row r="45" spans="1:5" s="479" customFormat="1" ht="16.2">
      <c r="A45" s="119" t="s">
        <v>765</v>
      </c>
    </row>
    <row r="46" spans="1:5" s="479" customFormat="1"/>
    <row r="47" spans="1:5" s="479" customFormat="1" ht="310.5" customHeight="1">
      <c r="B47" s="825" t="s">
        <v>1047</v>
      </c>
      <c r="C47" s="825"/>
      <c r="D47" s="825"/>
      <c r="E47" s="502"/>
    </row>
    <row r="48" spans="1:5" s="479" customFormat="1" ht="15" customHeight="1"/>
    <row r="49" spans="1:7" s="479" customFormat="1" ht="15" customHeight="1">
      <c r="A49" s="119" t="s">
        <v>766</v>
      </c>
    </row>
    <row r="50" spans="1:7" s="479" customFormat="1" ht="15" customHeight="1"/>
    <row r="51" spans="1:7" s="479" customFormat="1" ht="92.4">
      <c r="B51" s="503" t="s">
        <v>637</v>
      </c>
      <c r="C51" s="502"/>
      <c r="D51" s="502"/>
      <c r="E51" s="502"/>
    </row>
    <row r="52" spans="1:7" s="479" customFormat="1" ht="15" customHeight="1"/>
    <row r="53" spans="1:7" s="479" customFormat="1" ht="15" customHeight="1">
      <c r="A53" s="119" t="s">
        <v>767</v>
      </c>
    </row>
    <row r="54" spans="1:7" s="479" customFormat="1" ht="15" customHeight="1"/>
    <row r="55" spans="1:7" s="479" customFormat="1" ht="167.25" customHeight="1">
      <c r="B55" s="503" t="s">
        <v>1048</v>
      </c>
      <c r="C55" s="502"/>
      <c r="D55" s="502"/>
      <c r="E55" s="502"/>
    </row>
    <row r="56" spans="1:7" s="479" customFormat="1"/>
    <row r="57" spans="1:7" s="479" customFormat="1">
      <c r="A57" s="119" t="s">
        <v>142</v>
      </c>
    </row>
    <row r="58" spans="1:7" s="479" customFormat="1"/>
    <row r="59" spans="1:7" s="479" customFormat="1" ht="15" customHeight="1">
      <c r="B59" s="786" t="s">
        <v>769</v>
      </c>
      <c r="C59" s="786" t="s">
        <v>143</v>
      </c>
      <c r="D59" s="786" t="s">
        <v>799</v>
      </c>
      <c r="E59" s="786" t="s">
        <v>75</v>
      </c>
      <c r="F59" s="786" t="s">
        <v>800</v>
      </c>
      <c r="G59" s="470" t="s">
        <v>770</v>
      </c>
    </row>
    <row r="60" spans="1:7" s="479" customFormat="1">
      <c r="B60" s="787"/>
      <c r="C60" s="787"/>
      <c r="D60" s="787"/>
      <c r="E60" s="787"/>
      <c r="F60" s="787"/>
      <c r="G60" s="470">
        <f>C14</f>
        <v>2029</v>
      </c>
    </row>
    <row r="61" spans="1:7" ht="30">
      <c r="B61" s="135" t="s">
        <v>1049</v>
      </c>
      <c r="C61" s="136" t="s">
        <v>772</v>
      </c>
      <c r="D61" s="136">
        <v>5</v>
      </c>
      <c r="E61" s="136">
        <v>2</v>
      </c>
      <c r="F61" s="137">
        <v>1</v>
      </c>
      <c r="G61" s="504">
        <v>2029</v>
      </c>
    </row>
    <row r="62" spans="1:7" ht="30">
      <c r="B62" s="135" t="s">
        <v>1050</v>
      </c>
      <c r="C62" s="136" t="s">
        <v>772</v>
      </c>
      <c r="D62" s="136">
        <v>0</v>
      </c>
      <c r="E62" s="136">
        <v>0</v>
      </c>
      <c r="F62" s="137">
        <v>2</v>
      </c>
      <c r="G62" s="504"/>
    </row>
    <row r="63" spans="1:7">
      <c r="B63" s="135"/>
      <c r="C63" s="136"/>
      <c r="D63" s="136"/>
      <c r="E63" s="136"/>
      <c r="F63" s="137"/>
      <c r="G63" s="504"/>
    </row>
    <row r="64" spans="1:7">
      <c r="A64" t="s">
        <v>803</v>
      </c>
      <c r="B64" s="135"/>
      <c r="C64" s="136"/>
      <c r="D64" s="136"/>
      <c r="E64" s="136"/>
      <c r="F64" s="137"/>
      <c r="G64" s="504"/>
    </row>
    <row r="65" spans="1:7">
      <c r="B65" s="136"/>
      <c r="C65" s="136"/>
      <c r="D65" s="136"/>
      <c r="E65" s="136"/>
      <c r="F65" s="136"/>
      <c r="G65" s="504"/>
    </row>
    <row r="66" spans="1:7">
      <c r="B66" s="479"/>
    </row>
    <row r="67" spans="1:7">
      <c r="A67" s="119" t="s">
        <v>144</v>
      </c>
      <c r="B67" s="479"/>
    </row>
    <row r="68" spans="1:7">
      <c r="B68" s="479"/>
    </row>
    <row r="69" spans="1:7" ht="14.4">
      <c r="B69" s="786" t="s">
        <v>776</v>
      </c>
      <c r="C69" s="786" t="s">
        <v>60</v>
      </c>
      <c r="D69" s="786" t="s">
        <v>799</v>
      </c>
      <c r="E69" s="786" t="s">
        <v>75</v>
      </c>
      <c r="F69" s="786" t="s">
        <v>800</v>
      </c>
      <c r="G69" s="470" t="s">
        <v>146</v>
      </c>
    </row>
    <row r="70" spans="1:7" ht="14.4">
      <c r="B70" s="787"/>
      <c r="C70" s="787"/>
      <c r="D70" s="787"/>
      <c r="E70" s="787"/>
      <c r="F70" s="787"/>
      <c r="G70" s="470">
        <f>C14</f>
        <v>2029</v>
      </c>
    </row>
    <row r="71" spans="1:7" ht="35.4" customHeight="1">
      <c r="B71" s="487" t="s">
        <v>1051</v>
      </c>
      <c r="C71" s="489" t="s">
        <v>10</v>
      </c>
      <c r="D71" s="505">
        <v>750000</v>
      </c>
      <c r="E71" s="506">
        <v>300000</v>
      </c>
      <c r="F71" s="506">
        <v>150000</v>
      </c>
      <c r="G71" s="473"/>
    </row>
    <row r="72" spans="1:7" ht="35.4" customHeight="1">
      <c r="B72" s="713" t="s">
        <v>1052</v>
      </c>
      <c r="C72" s="489"/>
      <c r="D72" s="505">
        <v>0</v>
      </c>
      <c r="E72" s="506">
        <v>0</v>
      </c>
      <c r="F72" s="506">
        <v>400000</v>
      </c>
      <c r="G72" s="473"/>
    </row>
    <row r="73" spans="1:7" ht="66">
      <c r="B73" s="470" t="s">
        <v>1053</v>
      </c>
      <c r="C73" s="470"/>
      <c r="D73" s="506">
        <v>14400</v>
      </c>
      <c r="E73" s="506">
        <v>14400</v>
      </c>
      <c r="F73" s="506">
        <v>20400</v>
      </c>
      <c r="G73" s="473"/>
    </row>
    <row r="74" spans="1:7">
      <c r="B74" s="470" t="s">
        <v>1054</v>
      </c>
      <c r="C74" s="470"/>
      <c r="D74" s="506">
        <v>15000</v>
      </c>
      <c r="E74" s="506">
        <v>21000</v>
      </c>
      <c r="F74" s="506">
        <v>30000</v>
      </c>
      <c r="G74" s="473"/>
    </row>
    <row r="75" spans="1:7">
      <c r="B75" s="470" t="s">
        <v>1055</v>
      </c>
      <c r="C75" s="470"/>
      <c r="D75" s="506">
        <v>2600</v>
      </c>
      <c r="E75" s="506">
        <v>4120</v>
      </c>
      <c r="F75" s="506">
        <v>4480</v>
      </c>
      <c r="G75" s="473"/>
    </row>
    <row r="76" spans="1:7">
      <c r="B76" s="470" t="s">
        <v>1056</v>
      </c>
      <c r="C76" s="470" t="s">
        <v>10</v>
      </c>
      <c r="D76" s="506">
        <v>115000</v>
      </c>
      <c r="E76" s="506">
        <v>161000</v>
      </c>
      <c r="F76" s="506">
        <v>230000</v>
      </c>
      <c r="G76" s="473"/>
    </row>
    <row r="77" spans="1:7">
      <c r="B77" s="470" t="s">
        <v>781</v>
      </c>
      <c r="C77" s="489" t="s">
        <v>10</v>
      </c>
      <c r="D77" s="506">
        <v>2000</v>
      </c>
      <c r="E77" s="506">
        <v>4000</v>
      </c>
      <c r="F77" s="506">
        <v>10000</v>
      </c>
      <c r="G77" s="473"/>
    </row>
    <row r="78" spans="1:7">
      <c r="B78" s="470" t="s">
        <v>784</v>
      </c>
      <c r="C78" s="489"/>
      <c r="D78" s="506">
        <v>1000</v>
      </c>
      <c r="E78" s="506">
        <v>1000</v>
      </c>
      <c r="F78" s="506">
        <v>2000</v>
      </c>
      <c r="G78" s="473"/>
    </row>
    <row r="79" spans="1:7" ht="14.4">
      <c r="B79" s="142" t="s">
        <v>9</v>
      </c>
      <c r="C79" s="142" t="s">
        <v>10</v>
      </c>
      <c r="D79" s="508">
        <f>SUM(D71:D78)</f>
        <v>900000</v>
      </c>
      <c r="E79" s="508">
        <f>SUM(E71:E78)</f>
        <v>505520</v>
      </c>
      <c r="F79" s="509">
        <f>SUM(F71:F78)</f>
        <v>846880</v>
      </c>
      <c r="G79" s="142">
        <f>SUM(G71:G78)</f>
        <v>0</v>
      </c>
    </row>
    <row r="80" spans="1:7" ht="14.4">
      <c r="B80"/>
      <c r="D80" s="472"/>
      <c r="E80" s="472"/>
      <c r="F80" s="472"/>
    </row>
    <row r="81" spans="1:7">
      <c r="A81" s="119" t="s">
        <v>147</v>
      </c>
      <c r="B81"/>
      <c r="D81" s="472"/>
      <c r="E81" s="472"/>
      <c r="F81" s="472"/>
    </row>
    <row r="82" spans="1:7" ht="21" customHeight="1">
      <c r="B82"/>
      <c r="D82" s="472"/>
      <c r="E82" s="472"/>
      <c r="F82" s="472"/>
    </row>
    <row r="83" spans="1:7" ht="14.4">
      <c r="B83" s="786" t="s">
        <v>785</v>
      </c>
      <c r="C83" s="786" t="s">
        <v>60</v>
      </c>
      <c r="D83" s="786" t="s">
        <v>799</v>
      </c>
      <c r="E83" s="786" t="s">
        <v>72</v>
      </c>
      <c r="F83" s="786" t="s">
        <v>800</v>
      </c>
      <c r="G83" s="470" t="s">
        <v>146</v>
      </c>
    </row>
    <row r="84" spans="1:7" ht="14.4">
      <c r="B84" s="787"/>
      <c r="C84" s="787"/>
      <c r="D84" s="787"/>
      <c r="E84" s="787"/>
      <c r="F84" s="787"/>
      <c r="G84" s="470">
        <f>C14</f>
        <v>2029</v>
      </c>
    </row>
    <row r="85" spans="1:7">
      <c r="B85" s="469" t="s">
        <v>148</v>
      </c>
      <c r="C85" s="143" t="s">
        <v>10</v>
      </c>
      <c r="D85" s="142">
        <f>D79</f>
        <v>900000</v>
      </c>
      <c r="E85" s="142">
        <f>E79</f>
        <v>505520</v>
      </c>
      <c r="F85" s="142">
        <f>F79</f>
        <v>846880</v>
      </c>
      <c r="G85" s="142">
        <f>G79</f>
        <v>0</v>
      </c>
    </row>
    <row r="86" spans="1:7">
      <c r="B86" s="144" t="s">
        <v>149</v>
      </c>
      <c r="C86" s="143" t="s">
        <v>10</v>
      </c>
      <c r="D86" s="507">
        <f>D79</f>
        <v>900000</v>
      </c>
      <c r="E86" s="507">
        <f>E79</f>
        <v>505520</v>
      </c>
      <c r="F86" s="507">
        <f>F79</f>
        <v>846880</v>
      </c>
      <c r="G86" s="483"/>
    </row>
    <row r="87" spans="1:7" ht="15" customHeight="1">
      <c r="B87" s="145" t="s">
        <v>150</v>
      </c>
      <c r="C87" s="143" t="s">
        <v>10</v>
      </c>
      <c r="D87" s="139"/>
      <c r="E87" s="139"/>
      <c r="F87" s="140"/>
      <c r="G87" s="483"/>
    </row>
    <row r="88" spans="1:7">
      <c r="B88" s="144" t="s">
        <v>151</v>
      </c>
      <c r="C88" s="143" t="s">
        <v>10</v>
      </c>
      <c r="D88" s="142">
        <f>SUM(D89:D90)</f>
        <v>0</v>
      </c>
      <c r="E88" s="142">
        <f t="shared" ref="E88:G88" si="0">SUM(E89:E90)</f>
        <v>0</v>
      </c>
      <c r="F88" s="142">
        <f t="shared" si="0"/>
        <v>0</v>
      </c>
      <c r="G88" s="142">
        <f t="shared" si="0"/>
        <v>0</v>
      </c>
    </row>
    <row r="89" spans="1:7" ht="24.75" customHeight="1">
      <c r="B89" s="136"/>
      <c r="C89" s="143" t="s">
        <v>10</v>
      </c>
      <c r="D89" s="139"/>
      <c r="E89" s="139"/>
      <c r="F89" s="140"/>
      <c r="G89" s="483"/>
    </row>
    <row r="90" spans="1:7">
      <c r="B90" s="136"/>
      <c r="C90" s="143" t="s">
        <v>10</v>
      </c>
      <c r="D90" s="139"/>
      <c r="E90" s="139"/>
      <c r="F90" s="140"/>
      <c r="G90" s="483"/>
    </row>
    <row r="91" spans="1:7">
      <c r="B91" s="469" t="s">
        <v>152</v>
      </c>
      <c r="C91" s="143" t="s">
        <v>10</v>
      </c>
      <c r="D91" s="509">
        <f>D85-D88-D87</f>
        <v>900000</v>
      </c>
      <c r="E91" s="509">
        <f t="shared" ref="E91:G91" si="1">E85-E88-E87</f>
        <v>505520</v>
      </c>
      <c r="F91" s="509">
        <f t="shared" si="1"/>
        <v>846880</v>
      </c>
      <c r="G91" s="142">
        <f t="shared" si="1"/>
        <v>0</v>
      </c>
    </row>
    <row r="92" spans="1:7" ht="14.4">
      <c r="B92"/>
    </row>
    <row r="93" spans="1:7">
      <c r="A93" s="119" t="s">
        <v>185</v>
      </c>
      <c r="B93"/>
    </row>
    <row r="94" spans="1:7" ht="14.4">
      <c r="B94"/>
    </row>
    <row r="95" spans="1:7" ht="16.2">
      <c r="B95" s="469" t="s">
        <v>786</v>
      </c>
      <c r="C95" s="783"/>
      <c r="D95" s="784"/>
      <c r="E95" s="785"/>
    </row>
    <row r="96" spans="1:7" ht="14.4">
      <c r="B96"/>
    </row>
    <row r="97" spans="1:5" ht="16.2">
      <c r="A97" s="119" t="s">
        <v>788</v>
      </c>
      <c r="B97" s="154"/>
    </row>
    <row r="98" spans="1:5" ht="14.4">
      <c r="B98"/>
    </row>
    <row r="99" spans="1:5" ht="14.4">
      <c r="B99" s="469" t="s">
        <v>186</v>
      </c>
      <c r="C99" s="783"/>
      <c r="D99" s="784"/>
      <c r="E99" s="785"/>
    </row>
    <row r="100" spans="1:5" ht="14.4">
      <c r="B100" s="469" t="s">
        <v>187</v>
      </c>
      <c r="C100" s="783"/>
      <c r="D100" s="784"/>
      <c r="E100" s="785"/>
    </row>
    <row r="101" spans="1:5" ht="16.2">
      <c r="A101" s="119" t="s">
        <v>789</v>
      </c>
      <c r="B101"/>
    </row>
    <row r="102" spans="1:5" ht="14.4">
      <c r="B102"/>
    </row>
    <row r="103" spans="1:5" ht="14.4">
      <c r="B103" s="783"/>
      <c r="C103" s="784"/>
      <c r="D103" s="784"/>
      <c r="E103" s="785"/>
    </row>
  </sheetData>
  <mergeCells count="22">
    <mergeCell ref="F83:F84"/>
    <mergeCell ref="C95:E95"/>
    <mergeCell ref="C99:E99"/>
    <mergeCell ref="C100:E100"/>
    <mergeCell ref="B103:E103"/>
    <mergeCell ref="B83:B84"/>
    <mergeCell ref="C83:C84"/>
    <mergeCell ref="D83:D84"/>
    <mergeCell ref="E83:E84"/>
    <mergeCell ref="F59:F60"/>
    <mergeCell ref="B69:B70"/>
    <mergeCell ref="C69:C70"/>
    <mergeCell ref="D69:D70"/>
    <mergeCell ref="E69:E70"/>
    <mergeCell ref="F69:F70"/>
    <mergeCell ref="E59:E60"/>
    <mergeCell ref="B35:B38"/>
    <mergeCell ref="B40:B42"/>
    <mergeCell ref="B47:D47"/>
    <mergeCell ref="B59:B60"/>
    <mergeCell ref="C59:C60"/>
    <mergeCell ref="D59:D60"/>
  </mergeCells>
  <dataValidations count="3">
    <dataValidation type="list" allowBlank="1" showInputMessage="1" showErrorMessage="1" sqref="C20:C21 C24">
      <formula1>$H$2:$H$4</formula1>
    </dataValidation>
    <dataValidation type="list" allowBlank="1" showInputMessage="1" showErrorMessage="1" sqref="B29">
      <formula1>$J$2:$J$4</formula1>
    </dataValidation>
    <dataValidation type="list" allowBlank="1" showInputMessage="1" showErrorMessage="1" sqref="C23">
      <formula1>$I$2:$I$3</formula1>
    </dataValidation>
  </dataValidations>
  <hyperlinks>
    <hyperlink ref="C26" location="_ftn1" display="_ftn1"/>
    <hyperlink ref="D26" location="_ftn2" display="_ftn2"/>
    <hyperlink ref="E26" location="_ftn3" display="_ftn3"/>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7585" r:id="rId4" name="Check Box 1">
              <controlPr defaultSize="0" autoFill="0" autoLine="0" autoPict="0">
                <anchor moveWithCells="1">
                  <from>
                    <xdr:col>2</xdr:col>
                    <xdr:colOff>99060</xdr:colOff>
                    <xdr:row>32</xdr:row>
                    <xdr:rowOff>0</xdr:rowOff>
                  </from>
                  <to>
                    <xdr:col>2</xdr:col>
                    <xdr:colOff>3108960</xdr:colOff>
                    <xdr:row>33</xdr:row>
                    <xdr:rowOff>7620</xdr:rowOff>
                  </to>
                </anchor>
              </controlPr>
            </control>
          </mc:Choice>
        </mc:AlternateContent>
        <mc:AlternateContent xmlns:mc="http://schemas.openxmlformats.org/markup-compatibility/2006">
          <mc:Choice Requires="x14">
            <control shapeId="67586" r:id="rId5" name="Check Box 2">
              <controlPr defaultSize="0" autoFill="0" autoLine="0" autoPict="0">
                <anchor moveWithCells="1">
                  <from>
                    <xdr:col>2</xdr:col>
                    <xdr:colOff>99060</xdr:colOff>
                    <xdr:row>34</xdr:row>
                    <xdr:rowOff>0</xdr:rowOff>
                  </from>
                  <to>
                    <xdr:col>3</xdr:col>
                    <xdr:colOff>441960</xdr:colOff>
                    <xdr:row>34</xdr:row>
                    <xdr:rowOff>160020</xdr:rowOff>
                  </to>
                </anchor>
              </controlPr>
            </control>
          </mc:Choice>
        </mc:AlternateContent>
        <mc:AlternateContent xmlns:mc="http://schemas.openxmlformats.org/markup-compatibility/2006">
          <mc:Choice Requires="x14">
            <control shapeId="67587" r:id="rId6" name="Check Box 3">
              <controlPr defaultSize="0" autoFill="0" autoLine="0" autoPict="0">
                <anchor moveWithCells="1">
                  <from>
                    <xdr:col>2</xdr:col>
                    <xdr:colOff>99060</xdr:colOff>
                    <xdr:row>32</xdr:row>
                    <xdr:rowOff>182880</xdr:rowOff>
                  </from>
                  <to>
                    <xdr:col>3</xdr:col>
                    <xdr:colOff>1394460</xdr:colOff>
                    <xdr:row>33</xdr:row>
                    <xdr:rowOff>182880</xdr:rowOff>
                  </to>
                </anchor>
              </controlPr>
            </control>
          </mc:Choice>
        </mc:AlternateContent>
        <mc:AlternateContent xmlns:mc="http://schemas.openxmlformats.org/markup-compatibility/2006">
          <mc:Choice Requires="x14">
            <control shapeId="67588" r:id="rId7" name="Check Box 4">
              <controlPr defaultSize="0" autoFill="0" autoLine="0" autoPict="0">
                <anchor moveWithCells="1">
                  <from>
                    <xdr:col>2</xdr:col>
                    <xdr:colOff>38100</xdr:colOff>
                    <xdr:row>36</xdr:row>
                    <xdr:rowOff>30480</xdr:rowOff>
                  </from>
                  <to>
                    <xdr:col>11</xdr:col>
                    <xdr:colOff>160020</xdr:colOff>
                    <xdr:row>36</xdr:row>
                    <xdr:rowOff>160020</xdr:rowOff>
                  </to>
                </anchor>
              </controlPr>
            </control>
          </mc:Choice>
        </mc:AlternateContent>
        <mc:AlternateContent xmlns:mc="http://schemas.openxmlformats.org/markup-compatibility/2006">
          <mc:Choice Requires="x14">
            <control shapeId="67589" r:id="rId8" name="Check Box 5">
              <controlPr defaultSize="0" autoFill="0" autoLine="0" autoPict="0">
                <anchor moveWithCells="1">
                  <from>
                    <xdr:col>2</xdr:col>
                    <xdr:colOff>45720</xdr:colOff>
                    <xdr:row>37</xdr:row>
                    <xdr:rowOff>30480</xdr:rowOff>
                  </from>
                  <to>
                    <xdr:col>11</xdr:col>
                    <xdr:colOff>556260</xdr:colOff>
                    <xdr:row>38</xdr:row>
                    <xdr:rowOff>0</xdr:rowOff>
                  </to>
                </anchor>
              </controlPr>
            </control>
          </mc:Choice>
        </mc:AlternateContent>
        <mc:AlternateContent xmlns:mc="http://schemas.openxmlformats.org/markup-compatibility/2006">
          <mc:Choice Requires="x14">
            <control shapeId="67590" r:id="rId9" name="Check Box 6">
              <controlPr defaultSize="0" autoFill="0" autoLine="0" autoPict="0">
                <anchor moveWithCells="1">
                  <from>
                    <xdr:col>2</xdr:col>
                    <xdr:colOff>45720</xdr:colOff>
                    <xdr:row>38</xdr:row>
                    <xdr:rowOff>7620</xdr:rowOff>
                  </from>
                  <to>
                    <xdr:col>6</xdr:col>
                    <xdr:colOff>1783080</xdr:colOff>
                    <xdr:row>39</xdr:row>
                    <xdr:rowOff>0</xdr:rowOff>
                  </to>
                </anchor>
              </controlPr>
            </control>
          </mc:Choice>
        </mc:AlternateContent>
        <mc:AlternateContent xmlns:mc="http://schemas.openxmlformats.org/markup-compatibility/2006">
          <mc:Choice Requires="x14">
            <control shapeId="67591" r:id="rId10" name="Check Box 7">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67592" r:id="rId11" name="Check Box 8">
              <controlPr defaultSize="0" autoFill="0" autoLine="0" autoPict="0">
                <anchor moveWithCells="1">
                  <from>
                    <xdr:col>2</xdr:col>
                    <xdr:colOff>99060</xdr:colOff>
                    <xdr:row>32</xdr:row>
                    <xdr:rowOff>0</xdr:rowOff>
                  </from>
                  <to>
                    <xdr:col>2</xdr:col>
                    <xdr:colOff>3108960</xdr:colOff>
                    <xdr:row>33</xdr:row>
                    <xdr:rowOff>7620</xdr:rowOff>
                  </to>
                </anchor>
              </controlPr>
            </control>
          </mc:Choice>
        </mc:AlternateContent>
        <mc:AlternateContent xmlns:mc="http://schemas.openxmlformats.org/markup-compatibility/2006">
          <mc:Choice Requires="x14">
            <control shapeId="67593" r:id="rId12" name="Check Box 9">
              <controlPr defaultSize="0" autoFill="0" autoLine="0" autoPict="0">
                <anchor moveWithCells="1">
                  <from>
                    <xdr:col>2</xdr:col>
                    <xdr:colOff>99060</xdr:colOff>
                    <xdr:row>34</xdr:row>
                    <xdr:rowOff>0</xdr:rowOff>
                  </from>
                  <to>
                    <xdr:col>3</xdr:col>
                    <xdr:colOff>441960</xdr:colOff>
                    <xdr:row>34</xdr:row>
                    <xdr:rowOff>160020</xdr:rowOff>
                  </to>
                </anchor>
              </controlPr>
            </control>
          </mc:Choice>
        </mc:AlternateContent>
        <mc:AlternateContent xmlns:mc="http://schemas.openxmlformats.org/markup-compatibility/2006">
          <mc:Choice Requires="x14">
            <control shapeId="67594" r:id="rId13" name="Check Box 10">
              <controlPr defaultSize="0" autoFill="0" autoLine="0" autoPict="0">
                <anchor moveWithCells="1">
                  <from>
                    <xdr:col>2</xdr:col>
                    <xdr:colOff>99060</xdr:colOff>
                    <xdr:row>32</xdr:row>
                    <xdr:rowOff>182880</xdr:rowOff>
                  </from>
                  <to>
                    <xdr:col>3</xdr:col>
                    <xdr:colOff>1394460</xdr:colOff>
                    <xdr:row>33</xdr:row>
                    <xdr:rowOff>182880</xdr:rowOff>
                  </to>
                </anchor>
              </controlPr>
            </control>
          </mc:Choice>
        </mc:AlternateContent>
        <mc:AlternateContent xmlns:mc="http://schemas.openxmlformats.org/markup-compatibility/2006">
          <mc:Choice Requires="x14">
            <control shapeId="67595" r:id="rId14" name="Check Box 11">
              <controlPr defaultSize="0" autoFill="0" autoLine="0" autoPict="0">
                <anchor moveWithCells="1">
                  <from>
                    <xdr:col>2</xdr:col>
                    <xdr:colOff>45720</xdr:colOff>
                    <xdr:row>38</xdr:row>
                    <xdr:rowOff>7620</xdr:rowOff>
                  </from>
                  <to>
                    <xdr:col>6</xdr:col>
                    <xdr:colOff>1783080</xdr:colOff>
                    <xdr:row>39</xdr:row>
                    <xdr:rowOff>0</xdr:rowOff>
                  </to>
                </anchor>
              </controlPr>
            </control>
          </mc:Choice>
        </mc:AlternateContent>
        <mc:AlternateContent xmlns:mc="http://schemas.openxmlformats.org/markup-compatibility/2006">
          <mc:Choice Requires="x14">
            <control shapeId="67596" r:id="rId15" name="Check Box 12">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67597" r:id="rId16" name="Check Box 13">
              <controlPr defaultSize="0" autoFill="0" autoLine="0" autoPict="0">
                <anchor moveWithCells="1">
                  <from>
                    <xdr:col>2</xdr:col>
                    <xdr:colOff>99060</xdr:colOff>
                    <xdr:row>32</xdr:row>
                    <xdr:rowOff>0</xdr:rowOff>
                  </from>
                  <to>
                    <xdr:col>2</xdr:col>
                    <xdr:colOff>3108960</xdr:colOff>
                    <xdr:row>33</xdr:row>
                    <xdr:rowOff>7620</xdr:rowOff>
                  </to>
                </anchor>
              </controlPr>
            </control>
          </mc:Choice>
        </mc:AlternateContent>
        <mc:AlternateContent xmlns:mc="http://schemas.openxmlformats.org/markup-compatibility/2006">
          <mc:Choice Requires="x14">
            <control shapeId="67598" r:id="rId17" name="Check Box 14">
              <controlPr defaultSize="0" autoFill="0" autoLine="0" autoPict="0">
                <anchor moveWithCells="1">
                  <from>
                    <xdr:col>2</xdr:col>
                    <xdr:colOff>99060</xdr:colOff>
                    <xdr:row>34</xdr:row>
                    <xdr:rowOff>0</xdr:rowOff>
                  </from>
                  <to>
                    <xdr:col>3</xdr:col>
                    <xdr:colOff>441960</xdr:colOff>
                    <xdr:row>34</xdr:row>
                    <xdr:rowOff>160020</xdr:rowOff>
                  </to>
                </anchor>
              </controlPr>
            </control>
          </mc:Choice>
        </mc:AlternateContent>
        <mc:AlternateContent xmlns:mc="http://schemas.openxmlformats.org/markup-compatibility/2006">
          <mc:Choice Requires="x14">
            <control shapeId="67599" r:id="rId18" name="Check Box 15">
              <controlPr defaultSize="0" autoFill="0" autoLine="0" autoPict="0">
                <anchor moveWithCells="1">
                  <from>
                    <xdr:col>2</xdr:col>
                    <xdr:colOff>99060</xdr:colOff>
                    <xdr:row>32</xdr:row>
                    <xdr:rowOff>182880</xdr:rowOff>
                  </from>
                  <to>
                    <xdr:col>3</xdr:col>
                    <xdr:colOff>1394460</xdr:colOff>
                    <xdr:row>33</xdr:row>
                    <xdr:rowOff>182880</xdr:rowOff>
                  </to>
                </anchor>
              </controlPr>
            </control>
          </mc:Choice>
        </mc:AlternateContent>
        <mc:AlternateContent xmlns:mc="http://schemas.openxmlformats.org/markup-compatibility/2006">
          <mc:Choice Requires="x14">
            <control shapeId="67600" r:id="rId19" name="Check Box 16">
              <controlPr defaultSize="0" autoFill="0" autoLine="0" autoPict="0">
                <anchor moveWithCells="1">
                  <from>
                    <xdr:col>2</xdr:col>
                    <xdr:colOff>38100</xdr:colOff>
                    <xdr:row>36</xdr:row>
                    <xdr:rowOff>30480</xdr:rowOff>
                  </from>
                  <to>
                    <xdr:col>11</xdr:col>
                    <xdr:colOff>160020</xdr:colOff>
                    <xdr:row>36</xdr:row>
                    <xdr:rowOff>160020</xdr:rowOff>
                  </to>
                </anchor>
              </controlPr>
            </control>
          </mc:Choice>
        </mc:AlternateContent>
        <mc:AlternateContent xmlns:mc="http://schemas.openxmlformats.org/markup-compatibility/2006">
          <mc:Choice Requires="x14">
            <control shapeId="67601" r:id="rId20" name="Check Box 17">
              <controlPr defaultSize="0" autoFill="0" autoLine="0" autoPict="0">
                <anchor moveWithCells="1">
                  <from>
                    <xdr:col>2</xdr:col>
                    <xdr:colOff>45720</xdr:colOff>
                    <xdr:row>37</xdr:row>
                    <xdr:rowOff>30480</xdr:rowOff>
                  </from>
                  <to>
                    <xdr:col>11</xdr:col>
                    <xdr:colOff>556260</xdr:colOff>
                    <xdr:row>38</xdr:row>
                    <xdr:rowOff>0</xdr:rowOff>
                  </to>
                </anchor>
              </controlPr>
            </control>
          </mc:Choice>
        </mc:AlternateContent>
        <mc:AlternateContent xmlns:mc="http://schemas.openxmlformats.org/markup-compatibility/2006">
          <mc:Choice Requires="x14">
            <control shapeId="67602" r:id="rId21" name="Check Box 18">
              <controlPr defaultSize="0" autoFill="0" autoLine="0" autoPict="0">
                <anchor moveWithCells="1">
                  <from>
                    <xdr:col>2</xdr:col>
                    <xdr:colOff>45720</xdr:colOff>
                    <xdr:row>38</xdr:row>
                    <xdr:rowOff>7620</xdr:rowOff>
                  </from>
                  <to>
                    <xdr:col>6</xdr:col>
                    <xdr:colOff>1783080</xdr:colOff>
                    <xdr:row>39</xdr:row>
                    <xdr:rowOff>0</xdr:rowOff>
                  </to>
                </anchor>
              </controlPr>
            </control>
          </mc:Choice>
        </mc:AlternateContent>
        <mc:AlternateContent xmlns:mc="http://schemas.openxmlformats.org/markup-compatibility/2006">
          <mc:Choice Requires="x14">
            <control shapeId="67603" r:id="rId22" name="Check Box 19">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67604" r:id="rId23" name="Check Box 20">
              <controlPr defaultSize="0" autoFill="0" autoLine="0" autoPict="0">
                <anchor moveWithCells="1">
                  <from>
                    <xdr:col>2</xdr:col>
                    <xdr:colOff>99060</xdr:colOff>
                    <xdr:row>32</xdr:row>
                    <xdr:rowOff>0</xdr:rowOff>
                  </from>
                  <to>
                    <xdr:col>2</xdr:col>
                    <xdr:colOff>3108960</xdr:colOff>
                    <xdr:row>33</xdr:row>
                    <xdr:rowOff>7620</xdr:rowOff>
                  </to>
                </anchor>
              </controlPr>
            </control>
          </mc:Choice>
        </mc:AlternateContent>
        <mc:AlternateContent xmlns:mc="http://schemas.openxmlformats.org/markup-compatibility/2006">
          <mc:Choice Requires="x14">
            <control shapeId="67605" r:id="rId24" name="Check Box 21">
              <controlPr defaultSize="0" autoFill="0" autoLine="0" autoPict="0">
                <anchor moveWithCells="1">
                  <from>
                    <xdr:col>2</xdr:col>
                    <xdr:colOff>99060</xdr:colOff>
                    <xdr:row>34</xdr:row>
                    <xdr:rowOff>0</xdr:rowOff>
                  </from>
                  <to>
                    <xdr:col>3</xdr:col>
                    <xdr:colOff>441960</xdr:colOff>
                    <xdr:row>34</xdr:row>
                    <xdr:rowOff>160020</xdr:rowOff>
                  </to>
                </anchor>
              </controlPr>
            </control>
          </mc:Choice>
        </mc:AlternateContent>
        <mc:AlternateContent xmlns:mc="http://schemas.openxmlformats.org/markup-compatibility/2006">
          <mc:Choice Requires="x14">
            <control shapeId="67606" r:id="rId25" name="Check Box 22">
              <controlPr defaultSize="0" autoFill="0" autoLine="0" autoPict="0">
                <anchor moveWithCells="1">
                  <from>
                    <xdr:col>2</xdr:col>
                    <xdr:colOff>99060</xdr:colOff>
                    <xdr:row>32</xdr:row>
                    <xdr:rowOff>182880</xdr:rowOff>
                  </from>
                  <to>
                    <xdr:col>3</xdr:col>
                    <xdr:colOff>1394460</xdr:colOff>
                    <xdr:row>33</xdr:row>
                    <xdr:rowOff>182880</xdr:rowOff>
                  </to>
                </anchor>
              </controlPr>
            </control>
          </mc:Choice>
        </mc:AlternateContent>
        <mc:AlternateContent xmlns:mc="http://schemas.openxmlformats.org/markup-compatibility/2006">
          <mc:Choice Requires="x14">
            <control shapeId="67607" r:id="rId26" name="Check Box 23">
              <controlPr defaultSize="0" autoFill="0" autoLine="0" autoPict="0">
                <anchor moveWithCells="1">
                  <from>
                    <xdr:col>2</xdr:col>
                    <xdr:colOff>45720</xdr:colOff>
                    <xdr:row>38</xdr:row>
                    <xdr:rowOff>7620</xdr:rowOff>
                  </from>
                  <to>
                    <xdr:col>6</xdr:col>
                    <xdr:colOff>1783080</xdr:colOff>
                    <xdr:row>39</xdr:row>
                    <xdr:rowOff>0</xdr:rowOff>
                  </to>
                </anchor>
              </controlPr>
            </control>
          </mc:Choice>
        </mc:AlternateContent>
        <mc:AlternateContent xmlns:mc="http://schemas.openxmlformats.org/markup-compatibility/2006">
          <mc:Choice Requires="x14">
            <control shapeId="67608" r:id="rId27" name="Check Box 24">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67609" r:id="rId28" name="Check Box 25">
              <controlPr defaultSize="0" autoFill="0" autoLine="0" autoPict="0">
                <anchor moveWithCells="1">
                  <from>
                    <xdr:col>2</xdr:col>
                    <xdr:colOff>83820</xdr:colOff>
                    <xdr:row>34</xdr:row>
                    <xdr:rowOff>7620</xdr:rowOff>
                  </from>
                  <to>
                    <xdr:col>3</xdr:col>
                    <xdr:colOff>784860</xdr:colOff>
                    <xdr:row>35</xdr:row>
                    <xdr:rowOff>38100</xdr:rowOff>
                  </to>
                </anchor>
              </controlPr>
            </control>
          </mc:Choice>
        </mc:AlternateContent>
        <mc:AlternateContent xmlns:mc="http://schemas.openxmlformats.org/markup-compatibility/2006">
          <mc:Choice Requires="x14">
            <control shapeId="67610" r:id="rId29" name="Check Box 26">
              <controlPr defaultSize="0" autoFill="0" autoLine="0" autoPict="0">
                <anchor moveWithCells="1">
                  <from>
                    <xdr:col>2</xdr:col>
                    <xdr:colOff>99060</xdr:colOff>
                    <xdr:row>35</xdr:row>
                    <xdr:rowOff>0</xdr:rowOff>
                  </from>
                  <to>
                    <xdr:col>2</xdr:col>
                    <xdr:colOff>3108960</xdr:colOff>
                    <xdr:row>36</xdr:row>
                    <xdr:rowOff>7620</xdr:rowOff>
                  </to>
                </anchor>
              </controlPr>
            </control>
          </mc:Choice>
        </mc:AlternateContent>
        <mc:AlternateContent xmlns:mc="http://schemas.openxmlformats.org/markup-compatibility/2006">
          <mc:Choice Requires="x14">
            <control shapeId="67611" r:id="rId30" name="Check Box 27">
              <controlPr defaultSize="0" autoFill="0" autoLine="0" autoPict="0">
                <anchor moveWithCells="1">
                  <from>
                    <xdr:col>2</xdr:col>
                    <xdr:colOff>99060</xdr:colOff>
                    <xdr:row>37</xdr:row>
                    <xdr:rowOff>0</xdr:rowOff>
                  </from>
                  <to>
                    <xdr:col>3</xdr:col>
                    <xdr:colOff>441960</xdr:colOff>
                    <xdr:row>37</xdr:row>
                    <xdr:rowOff>160020</xdr:rowOff>
                  </to>
                </anchor>
              </controlPr>
            </control>
          </mc:Choice>
        </mc:AlternateContent>
        <mc:AlternateContent xmlns:mc="http://schemas.openxmlformats.org/markup-compatibility/2006">
          <mc:Choice Requires="x14">
            <control shapeId="67612" r:id="rId31" name="Check Box 28">
              <controlPr defaultSize="0" autoFill="0" autoLine="0" autoPict="0">
                <anchor moveWithCells="1">
                  <from>
                    <xdr:col>2</xdr:col>
                    <xdr:colOff>99060</xdr:colOff>
                    <xdr:row>35</xdr:row>
                    <xdr:rowOff>182880</xdr:rowOff>
                  </from>
                  <to>
                    <xdr:col>3</xdr:col>
                    <xdr:colOff>1356360</xdr:colOff>
                    <xdr:row>37</xdr:row>
                    <xdr:rowOff>22860</xdr:rowOff>
                  </to>
                </anchor>
              </controlPr>
            </control>
          </mc:Choice>
        </mc:AlternateContent>
        <mc:AlternateContent xmlns:mc="http://schemas.openxmlformats.org/markup-compatibility/2006">
          <mc:Choice Requires="x14">
            <control shapeId="67613" r:id="rId32" name="Check Box 29">
              <controlPr defaultSize="0" autoFill="0" autoLine="0" autoPict="0">
                <anchor moveWithCells="1">
                  <from>
                    <xdr:col>2</xdr:col>
                    <xdr:colOff>38100</xdr:colOff>
                    <xdr:row>39</xdr:row>
                    <xdr:rowOff>30480</xdr:rowOff>
                  </from>
                  <to>
                    <xdr:col>11</xdr:col>
                    <xdr:colOff>297180</xdr:colOff>
                    <xdr:row>39</xdr:row>
                    <xdr:rowOff>160020</xdr:rowOff>
                  </to>
                </anchor>
              </controlPr>
            </control>
          </mc:Choice>
        </mc:AlternateContent>
        <mc:AlternateContent xmlns:mc="http://schemas.openxmlformats.org/markup-compatibility/2006">
          <mc:Choice Requires="x14">
            <control shapeId="67614" r:id="rId33" name="Check Box 30">
              <controlPr defaultSize="0" autoFill="0" autoLine="0" autoPict="0">
                <anchor moveWithCells="1">
                  <from>
                    <xdr:col>2</xdr:col>
                    <xdr:colOff>45720</xdr:colOff>
                    <xdr:row>40</xdr:row>
                    <xdr:rowOff>30480</xdr:rowOff>
                  </from>
                  <to>
                    <xdr:col>11</xdr:col>
                    <xdr:colOff>533400</xdr:colOff>
                    <xdr:row>41</xdr:row>
                    <xdr:rowOff>0</xdr:rowOff>
                  </to>
                </anchor>
              </controlPr>
            </control>
          </mc:Choice>
        </mc:AlternateContent>
        <mc:AlternateContent xmlns:mc="http://schemas.openxmlformats.org/markup-compatibility/2006">
          <mc:Choice Requires="x14">
            <control shapeId="67615" r:id="rId34" name="Check Box 31">
              <controlPr defaultSize="0" autoFill="0" autoLine="0" autoPict="0">
                <anchor moveWithCells="1">
                  <from>
                    <xdr:col>2</xdr:col>
                    <xdr:colOff>45720</xdr:colOff>
                    <xdr:row>41</xdr:row>
                    <xdr:rowOff>7620</xdr:rowOff>
                  </from>
                  <to>
                    <xdr:col>6</xdr:col>
                    <xdr:colOff>1828800</xdr:colOff>
                    <xdr:row>42</xdr:row>
                    <xdr:rowOff>0</xdr:rowOff>
                  </to>
                </anchor>
              </controlPr>
            </control>
          </mc:Choice>
        </mc:AlternateContent>
        <mc:AlternateContent xmlns:mc="http://schemas.openxmlformats.org/markup-compatibility/2006">
          <mc:Choice Requires="x14">
            <control shapeId="67616" r:id="rId35" name="Check Box 32">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U58"/>
  <sheetViews>
    <sheetView topLeftCell="B1" zoomScaleNormal="100" workbookViewId="0">
      <selection activeCell="J8" sqref="J8"/>
    </sheetView>
  </sheetViews>
  <sheetFormatPr defaultRowHeight="14.4"/>
  <cols>
    <col min="1" max="1" width="5.44140625" customWidth="1"/>
    <col min="2" max="2" width="9.33203125" customWidth="1"/>
    <col min="3" max="3" width="13.5546875" customWidth="1"/>
    <col min="4" max="4" width="39.6640625" customWidth="1"/>
    <col min="5" max="5" width="38.109375" customWidth="1"/>
    <col min="6" max="6" width="28.109375" customWidth="1"/>
    <col min="7" max="8" width="13" customWidth="1"/>
    <col min="9" max="9" width="11.6640625" customWidth="1"/>
    <col min="10" max="10" width="13.109375" customWidth="1"/>
    <col min="11" max="11" width="14.6640625" customWidth="1"/>
    <col min="12" max="12" width="13.109375" customWidth="1"/>
    <col min="13" max="13" width="12.6640625" customWidth="1"/>
    <col min="14" max="14" width="12.109375" bestFit="1" customWidth="1"/>
    <col min="15" max="15" width="11.88671875" customWidth="1"/>
    <col min="19" max="19" width="16.109375" customWidth="1"/>
    <col min="20" max="20" width="72.33203125" customWidth="1"/>
    <col min="21" max="21" width="31.88671875" customWidth="1"/>
  </cols>
  <sheetData>
    <row r="2" spans="1:20" ht="15">
      <c r="A2" s="4" t="s">
        <v>275</v>
      </c>
      <c r="B2" s="5"/>
      <c r="C2" s="5"/>
      <c r="D2" s="6"/>
      <c r="E2" s="6"/>
      <c r="F2" s="6"/>
      <c r="G2" s="6"/>
      <c r="H2" s="6"/>
      <c r="I2" s="6"/>
      <c r="J2" s="6"/>
    </row>
    <row r="3" spans="1:20" ht="22.95" customHeight="1">
      <c r="E3" s="452" t="s">
        <v>725</v>
      </c>
      <c r="F3" s="452" t="s">
        <v>640</v>
      </c>
      <c r="K3" s="304"/>
      <c r="L3" s="304"/>
      <c r="M3" s="304"/>
      <c r="N3" s="304"/>
      <c r="O3" s="304"/>
    </row>
    <row r="4" spans="1:20" s="74" customFormat="1" ht="15.6">
      <c r="A4" s="75"/>
      <c r="B4" s="75"/>
      <c r="C4" s="75"/>
      <c r="D4" s="75"/>
      <c r="E4" s="75"/>
      <c r="N4" s="918" t="s">
        <v>86</v>
      </c>
      <c r="O4" s="918"/>
      <c r="S4" s="116"/>
    </row>
    <row r="5" spans="1:20" s="74" customFormat="1" ht="48" customHeight="1">
      <c r="A5" s="909" t="s">
        <v>76</v>
      </c>
      <c r="B5" s="919" t="s">
        <v>91</v>
      </c>
      <c r="C5" s="919"/>
      <c r="D5" s="919" t="s">
        <v>155</v>
      </c>
      <c r="E5" s="919" t="s">
        <v>92</v>
      </c>
      <c r="F5" s="919" t="s">
        <v>341</v>
      </c>
      <c r="G5" s="775" t="s">
        <v>117</v>
      </c>
      <c r="H5" s="775"/>
      <c r="I5" s="775"/>
      <c r="J5" s="914" t="s">
        <v>118</v>
      </c>
      <c r="K5" s="914"/>
      <c r="L5" s="914"/>
      <c r="M5" s="775" t="s">
        <v>342</v>
      </c>
      <c r="N5" s="775"/>
      <c r="O5" s="775"/>
      <c r="P5" s="914" t="s">
        <v>343</v>
      </c>
      <c r="Q5" s="914"/>
      <c r="R5" s="914"/>
      <c r="S5" s="775" t="s">
        <v>344</v>
      </c>
      <c r="T5" s="914" t="s">
        <v>95</v>
      </c>
    </row>
    <row r="6" spans="1:20" s="74" customFormat="1" ht="30.6" customHeight="1">
      <c r="A6" s="910"/>
      <c r="B6" s="217" t="s">
        <v>153</v>
      </c>
      <c r="C6" s="217" t="s">
        <v>154</v>
      </c>
      <c r="D6" s="919"/>
      <c r="E6" s="919"/>
      <c r="F6" s="919"/>
      <c r="G6" s="197" t="s">
        <v>115</v>
      </c>
      <c r="H6" s="197" t="s">
        <v>345</v>
      </c>
      <c r="I6" s="197" t="s">
        <v>346</v>
      </c>
      <c r="J6" s="197" t="s">
        <v>54</v>
      </c>
      <c r="K6" s="197" t="s">
        <v>72</v>
      </c>
      <c r="L6" s="197" t="s">
        <v>97</v>
      </c>
      <c r="M6" s="57" t="s">
        <v>55</v>
      </c>
      <c r="N6" s="57" t="s">
        <v>75</v>
      </c>
      <c r="O6" s="57" t="s">
        <v>94</v>
      </c>
      <c r="P6" s="57" t="s">
        <v>55</v>
      </c>
      <c r="Q6" s="57" t="s">
        <v>75</v>
      </c>
      <c r="R6" s="57" t="s">
        <v>94</v>
      </c>
      <c r="S6" s="775"/>
      <c r="T6" s="914"/>
    </row>
    <row r="7" spans="1:20" s="74" customFormat="1" ht="19.95" customHeight="1">
      <c r="A7" s="218">
        <v>1</v>
      </c>
      <c r="B7" s="218">
        <v>2</v>
      </c>
      <c r="C7" s="218">
        <v>3</v>
      </c>
      <c r="D7" s="218">
        <v>4</v>
      </c>
      <c r="E7" s="218">
        <v>5</v>
      </c>
      <c r="F7" s="218">
        <v>6</v>
      </c>
      <c r="G7" s="218">
        <v>7</v>
      </c>
      <c r="H7" s="218">
        <v>8</v>
      </c>
      <c r="I7" s="218">
        <v>9</v>
      </c>
      <c r="J7" s="218">
        <v>10</v>
      </c>
      <c r="K7" s="218">
        <v>11</v>
      </c>
      <c r="L7" s="218">
        <v>12</v>
      </c>
      <c r="M7" s="218">
        <v>13</v>
      </c>
      <c r="N7" s="218">
        <v>14</v>
      </c>
      <c r="O7" s="218">
        <v>15</v>
      </c>
      <c r="P7" s="218">
        <v>16</v>
      </c>
      <c r="Q7" s="218">
        <v>17</v>
      </c>
      <c r="R7" s="218">
        <v>18</v>
      </c>
      <c r="S7" s="218">
        <v>19</v>
      </c>
      <c r="T7" s="218">
        <v>20</v>
      </c>
    </row>
    <row r="8" spans="1:20" s="74" customFormat="1" ht="60" customHeight="1">
      <c r="A8" s="915"/>
      <c r="B8" s="911" t="s">
        <v>153</v>
      </c>
      <c r="C8" s="911" t="s">
        <v>154</v>
      </c>
      <c r="D8" s="337" t="s">
        <v>340</v>
      </c>
      <c r="E8" s="761"/>
      <c r="F8" s="764"/>
      <c r="G8" s="394">
        <f t="shared" ref="G8:I8" si="0">G9+G10+G11+G12</f>
        <v>13081766.891900001</v>
      </c>
      <c r="H8" s="394">
        <f t="shared" si="0"/>
        <v>15699341.983999997</v>
      </c>
      <c r="I8" s="394">
        <f t="shared" si="0"/>
        <v>17465747.277389906</v>
      </c>
      <c r="J8" s="394">
        <f>J9+J10+J11+J12</f>
        <v>14395785.06957335</v>
      </c>
      <c r="K8" s="394">
        <f t="shared" ref="K8:L8" si="1">K9+K10+K11+K12</f>
        <v>17992607.607124828</v>
      </c>
      <c r="L8" s="394">
        <f t="shared" si="1"/>
        <v>17764850.833343498</v>
      </c>
      <c r="M8" s="394">
        <f>M9+M10+M11+M12</f>
        <v>14427342.469573351</v>
      </c>
      <c r="N8" s="394">
        <f t="shared" ref="N8:O8" si="2">N9+N10+N11+N12</f>
        <v>18024165.00712483</v>
      </c>
      <c r="O8" s="394">
        <f t="shared" si="2"/>
        <v>17796408.233343497</v>
      </c>
      <c r="P8" s="394">
        <f t="shared" ref="P8:R8" si="3">P9+P10+P11+P12</f>
        <v>0</v>
      </c>
      <c r="Q8" s="394">
        <f t="shared" si="3"/>
        <v>0</v>
      </c>
      <c r="R8" s="394">
        <f t="shared" si="3"/>
        <v>0</v>
      </c>
      <c r="S8" s="221"/>
      <c r="T8" s="221"/>
    </row>
    <row r="9" spans="1:20" s="74" customFormat="1" ht="22.2" customHeight="1">
      <c r="A9" s="916"/>
      <c r="B9" s="912"/>
      <c r="C9" s="912"/>
      <c r="D9" s="219" t="s">
        <v>347</v>
      </c>
      <c r="E9" s="759"/>
      <c r="F9" s="762"/>
      <c r="G9" s="393">
        <f>G15+G16+G17+G25+G26+G27+G28+G36+G37+G38+G39+G40+G41+G42+G43+G44+G48+G50+G51+G52+G55</f>
        <v>8827802.6283000018</v>
      </c>
      <c r="H9" s="393">
        <f t="shared" ref="H9:R9" si="4">H15+H16+H17+H25+H26+H27+H28+H36+H37+H38+H39+H40+H41+H42+H43+H44+H48+H50+H51+H52+H55</f>
        <v>11824399.083999997</v>
      </c>
      <c r="I9" s="393">
        <f t="shared" si="4"/>
        <v>12970843.677389907</v>
      </c>
      <c r="J9" s="393">
        <f t="shared" si="4"/>
        <v>11920857.73360881</v>
      </c>
      <c r="K9" s="393">
        <f t="shared" si="4"/>
        <v>13206500.236965388</v>
      </c>
      <c r="L9" s="393">
        <f t="shared" si="4"/>
        <v>13158617.56021872</v>
      </c>
      <c r="M9" s="393">
        <f t="shared" si="4"/>
        <v>11924415.133608811</v>
      </c>
      <c r="N9" s="393">
        <f t="shared" si="4"/>
        <v>13210057.636965388</v>
      </c>
      <c r="O9" s="393">
        <f t="shared" si="4"/>
        <v>13162174.96021872</v>
      </c>
      <c r="P9" s="393">
        <f t="shared" si="4"/>
        <v>0</v>
      </c>
      <c r="Q9" s="393">
        <f t="shared" si="4"/>
        <v>0</v>
      </c>
      <c r="R9" s="393">
        <f t="shared" si="4"/>
        <v>0</v>
      </c>
      <c r="S9" s="8"/>
      <c r="T9" s="8"/>
    </row>
    <row r="10" spans="1:20" s="74" customFormat="1" ht="25.2" customHeight="1">
      <c r="A10" s="916"/>
      <c r="B10" s="912"/>
      <c r="C10" s="912"/>
      <c r="D10" s="219" t="s">
        <v>348</v>
      </c>
      <c r="E10" s="759"/>
      <c r="F10" s="762"/>
      <c r="G10" s="393">
        <f>G23+G29+G30+G31+G33+G46+G47+G53</f>
        <v>3380434.6195999999</v>
      </c>
      <c r="H10" s="393">
        <f t="shared" ref="H10:R10" si="5">H23+H29+H30+H31+H33+H46+H47+H53</f>
        <v>1527510.9</v>
      </c>
      <c r="I10" s="393">
        <f t="shared" si="5"/>
        <v>2143611.5</v>
      </c>
      <c r="J10" s="393">
        <f t="shared" si="5"/>
        <v>1315016.318645</v>
      </c>
      <c r="K10" s="393">
        <f t="shared" si="5"/>
        <v>4034366.4613854745</v>
      </c>
      <c r="L10" s="393">
        <f t="shared" si="5"/>
        <v>4606233.2731247768</v>
      </c>
      <c r="M10" s="393">
        <f t="shared" si="5"/>
        <v>1343016.318645</v>
      </c>
      <c r="N10" s="393">
        <f t="shared" si="5"/>
        <v>4062366.4613854745</v>
      </c>
      <c r="O10" s="393">
        <f t="shared" si="5"/>
        <v>4634233.2731247768</v>
      </c>
      <c r="P10" s="393">
        <f t="shared" si="5"/>
        <v>0</v>
      </c>
      <c r="Q10" s="393">
        <f t="shared" si="5"/>
        <v>0</v>
      </c>
      <c r="R10" s="393">
        <f t="shared" si="5"/>
        <v>0</v>
      </c>
      <c r="S10" s="8"/>
      <c r="T10" s="8"/>
    </row>
    <row r="11" spans="1:20" s="74" customFormat="1" ht="33" customHeight="1">
      <c r="A11" s="916"/>
      <c r="B11" s="912"/>
      <c r="C11" s="912"/>
      <c r="D11" s="219" t="s">
        <v>349</v>
      </c>
      <c r="E11" s="763"/>
      <c r="F11" s="760"/>
      <c r="G11" s="393">
        <f>G35+G45</f>
        <v>500849.16000000003</v>
      </c>
      <c r="H11" s="393">
        <f t="shared" ref="H11:R11" si="6">H35+H45</f>
        <v>0</v>
      </c>
      <c r="I11" s="393">
        <f t="shared" si="6"/>
        <v>0</v>
      </c>
      <c r="J11" s="393">
        <f t="shared" si="6"/>
        <v>0</v>
      </c>
      <c r="K11" s="393">
        <f t="shared" si="6"/>
        <v>0</v>
      </c>
      <c r="L11" s="393">
        <f t="shared" si="6"/>
        <v>0</v>
      </c>
      <c r="M11" s="393">
        <f t="shared" si="6"/>
        <v>0</v>
      </c>
      <c r="N11" s="393">
        <f t="shared" si="6"/>
        <v>0</v>
      </c>
      <c r="O11" s="393">
        <f t="shared" si="6"/>
        <v>0</v>
      </c>
      <c r="P11" s="393">
        <f t="shared" si="6"/>
        <v>0</v>
      </c>
      <c r="Q11" s="393">
        <f t="shared" si="6"/>
        <v>0</v>
      </c>
      <c r="R11" s="393">
        <f t="shared" si="6"/>
        <v>0</v>
      </c>
      <c r="S11" s="393"/>
      <c r="T11" s="8"/>
    </row>
    <row r="12" spans="1:20" s="74" customFormat="1" ht="39" customHeight="1">
      <c r="A12" s="916"/>
      <c r="B12" s="912"/>
      <c r="C12" s="912"/>
      <c r="D12" s="219" t="s">
        <v>667</v>
      </c>
      <c r="E12" s="760"/>
      <c r="F12" s="762"/>
      <c r="G12" s="393">
        <f>G18+G19+G20+G21+G22</f>
        <v>372680.48400000005</v>
      </c>
      <c r="H12" s="393">
        <f t="shared" ref="H12:P12" si="7">H18+H19+H20+H21+H22</f>
        <v>2347432</v>
      </c>
      <c r="I12" s="393">
        <f>I18+I19+I20+I21+I22</f>
        <v>2351292.1</v>
      </c>
      <c r="J12" s="393">
        <f>J18+J19+J20+J21+J22</f>
        <v>1159911.01731954</v>
      </c>
      <c r="K12" s="393">
        <f t="shared" si="7"/>
        <v>751740.90877396672</v>
      </c>
      <c r="L12" s="393">
        <f t="shared" si="7"/>
        <v>0</v>
      </c>
      <c r="M12" s="393">
        <f t="shared" si="7"/>
        <v>1159911.01731954</v>
      </c>
      <c r="N12" s="393">
        <f t="shared" si="7"/>
        <v>751740.90877396672</v>
      </c>
      <c r="O12" s="393">
        <f t="shared" si="7"/>
        <v>0</v>
      </c>
      <c r="P12" s="393">
        <f t="shared" si="7"/>
        <v>0</v>
      </c>
      <c r="Q12" s="393">
        <f t="shared" ref="Q12:R12" si="8">Q18+Q19+Q20+Q21+Q22</f>
        <v>0</v>
      </c>
      <c r="R12" s="393">
        <f t="shared" si="8"/>
        <v>0</v>
      </c>
      <c r="S12" s="393"/>
      <c r="T12" s="8"/>
    </row>
    <row r="13" spans="1:20" s="74" customFormat="1" ht="40.950000000000003" customHeight="1">
      <c r="A13" s="917"/>
      <c r="B13" s="913"/>
      <c r="C13" s="913"/>
      <c r="D13" s="220" t="s">
        <v>350</v>
      </c>
      <c r="E13" s="8"/>
      <c r="F13" s="765"/>
      <c r="G13" s="393">
        <f>G8-G11-G12</f>
        <v>12208237.247900002</v>
      </c>
      <c r="H13" s="393">
        <f t="shared" ref="H13:O13" si="9">H8-H11-H12</f>
        <v>13351909.983999997</v>
      </c>
      <c r="I13" s="393">
        <f t="shared" si="9"/>
        <v>15114455.177389907</v>
      </c>
      <c r="J13" s="393">
        <f>J8-J11-J12</f>
        <v>13235874.052253811</v>
      </c>
      <c r="K13" s="393">
        <f t="shared" si="9"/>
        <v>17240866.698350862</v>
      </c>
      <c r="L13" s="393">
        <f t="shared" si="9"/>
        <v>17764850.833343498</v>
      </c>
      <c r="M13" s="393">
        <f t="shared" si="9"/>
        <v>13267431.452253811</v>
      </c>
      <c r="N13" s="393">
        <f t="shared" si="9"/>
        <v>17272424.098350864</v>
      </c>
      <c r="O13" s="393">
        <f t="shared" si="9"/>
        <v>17796408.233343497</v>
      </c>
      <c r="P13" s="393">
        <f t="shared" ref="P13:R13" si="10">P8-P11-P12</f>
        <v>0</v>
      </c>
      <c r="Q13" s="393">
        <f t="shared" si="10"/>
        <v>0</v>
      </c>
      <c r="R13" s="393">
        <f t="shared" si="10"/>
        <v>0</v>
      </c>
      <c r="S13" s="8"/>
      <c r="T13" s="8"/>
    </row>
    <row r="14" spans="1:20" s="74" customFormat="1" ht="73.95" customHeight="1">
      <c r="A14" s="224"/>
      <c r="B14" s="224">
        <v>1016</v>
      </c>
      <c r="C14" s="904" t="s">
        <v>339</v>
      </c>
      <c r="D14" s="905"/>
      <c r="E14" s="224" t="s">
        <v>365</v>
      </c>
      <c r="F14" s="224" t="s">
        <v>366</v>
      </c>
      <c r="G14" s="391">
        <f>G15+G16+G17+G18+G19+G20+G21+G22+G23</f>
        <v>2593372.6639999999</v>
      </c>
      <c r="H14" s="391">
        <f t="shared" ref="H14:R14" si="11">H15+H16+H17+H18+H19+H20+H21+H22+H23</f>
        <v>4215628.8000000007</v>
      </c>
      <c r="I14" s="391">
        <f t="shared" si="11"/>
        <v>4291775.0999999996</v>
      </c>
      <c r="J14" s="391">
        <f t="shared" si="11"/>
        <v>3028107.8173195398</v>
      </c>
      <c r="K14" s="391">
        <f t="shared" si="11"/>
        <v>3090652.7087739664</v>
      </c>
      <c r="L14" s="391">
        <f t="shared" si="11"/>
        <v>2343911.7999999998</v>
      </c>
      <c r="M14" s="391">
        <f t="shared" si="11"/>
        <v>3028107.8173195398</v>
      </c>
      <c r="N14" s="391">
        <f t="shared" si="11"/>
        <v>3090652.7087739664</v>
      </c>
      <c r="O14" s="391">
        <f t="shared" si="11"/>
        <v>2343911.7999999998</v>
      </c>
      <c r="P14" s="391">
        <f t="shared" si="11"/>
        <v>0</v>
      </c>
      <c r="Q14" s="391">
        <f t="shared" si="11"/>
        <v>0</v>
      </c>
      <c r="R14" s="391">
        <f t="shared" si="11"/>
        <v>0</v>
      </c>
      <c r="S14" s="390"/>
      <c r="T14" s="390"/>
    </row>
    <row r="15" spans="1:20" s="74" customFormat="1" ht="45.6" customHeight="1">
      <c r="A15" s="163"/>
      <c r="B15" s="163"/>
      <c r="C15" s="222">
        <v>11001</v>
      </c>
      <c r="D15" s="223" t="s">
        <v>376</v>
      </c>
      <c r="E15" s="223" t="s">
        <v>361</v>
      </c>
      <c r="F15" s="223" t="s">
        <v>362</v>
      </c>
      <c r="G15" s="396">
        <f>'Հ4  '!H16</f>
        <v>219678.24</v>
      </c>
      <c r="H15" s="338">
        <f>'Հ4  '!I16</f>
        <v>217255.8</v>
      </c>
      <c r="I15" s="338">
        <v>220752.8</v>
      </c>
      <c r="J15" s="338">
        <f>'Հ4  '!J16</f>
        <v>217255.8</v>
      </c>
      <c r="K15" s="338">
        <f>'Հ4  '!K16</f>
        <v>217255.8</v>
      </c>
      <c r="L15" s="338">
        <f>'Հ4  '!L16</f>
        <v>217255.8</v>
      </c>
      <c r="M15" s="338">
        <f>'Հ4  '!J16</f>
        <v>217255.8</v>
      </c>
      <c r="N15" s="338">
        <f>'Հ4  '!K16</f>
        <v>217255.8</v>
      </c>
      <c r="O15" s="338">
        <f>'Հ4  '!L16</f>
        <v>217255.8</v>
      </c>
      <c r="P15" s="338"/>
      <c r="Q15" s="338"/>
      <c r="R15" s="338"/>
      <c r="S15" s="222" t="s">
        <v>550</v>
      </c>
      <c r="T15" s="8"/>
    </row>
    <row r="16" spans="1:20" s="74" customFormat="1" ht="45.6" customHeight="1">
      <c r="A16" s="906"/>
      <c r="B16" s="163"/>
      <c r="C16" s="222">
        <v>11003</v>
      </c>
      <c r="D16" s="223" t="s">
        <v>662</v>
      </c>
      <c r="E16" s="223" t="s">
        <v>664</v>
      </c>
      <c r="F16" s="223" t="s">
        <v>665</v>
      </c>
      <c r="G16" s="396">
        <f>'Հ4  '!H17</f>
        <v>22196.34</v>
      </c>
      <c r="H16" s="338">
        <f>'Հ4  '!I17</f>
        <v>0</v>
      </c>
      <c r="I16" s="338"/>
      <c r="J16" s="338">
        <f>'Հ4  '!J17</f>
        <v>0</v>
      </c>
      <c r="K16" s="338">
        <f>'Հ4  '!K17</f>
        <v>0</v>
      </c>
      <c r="L16" s="338">
        <f>'Հ4  '!L17</f>
        <v>0</v>
      </c>
      <c r="M16" s="338">
        <f>'Հ4  '!J17</f>
        <v>0</v>
      </c>
      <c r="N16" s="338">
        <f>'Հ4  '!K17</f>
        <v>0</v>
      </c>
      <c r="O16" s="338">
        <f>'Հ4  '!L17</f>
        <v>0</v>
      </c>
      <c r="P16" s="338"/>
      <c r="Q16" s="338"/>
      <c r="R16" s="338"/>
      <c r="S16" s="222"/>
      <c r="T16" s="8"/>
    </row>
    <row r="17" spans="1:21" s="74" customFormat="1" ht="283.2" customHeight="1">
      <c r="A17" s="907"/>
      <c r="B17" s="368"/>
      <c r="C17" s="222">
        <v>11004</v>
      </c>
      <c r="D17" s="223" t="s">
        <v>377</v>
      </c>
      <c r="E17" s="223" t="s">
        <v>363</v>
      </c>
      <c r="F17" s="223" t="s">
        <v>362</v>
      </c>
      <c r="G17" s="396">
        <f>'Հ4  '!H25</f>
        <v>1680617.6</v>
      </c>
      <c r="H17" s="342">
        <f>'Հ4  '!I25</f>
        <v>1650941</v>
      </c>
      <c r="I17" s="342">
        <v>1719730.2</v>
      </c>
      <c r="J17" s="342">
        <f>'Հ4  '!J25</f>
        <v>1650941</v>
      </c>
      <c r="K17" s="342">
        <f>'Հ4  '!K25</f>
        <v>2118656</v>
      </c>
      <c r="L17" s="342">
        <f>'Հ4  '!L25</f>
        <v>2126656</v>
      </c>
      <c r="M17" s="342">
        <f>'Հ4  '!J25</f>
        <v>1650941</v>
      </c>
      <c r="N17" s="342">
        <f>'Հ4  '!K25</f>
        <v>2118656</v>
      </c>
      <c r="O17" s="342">
        <f>'Հ4  '!L25</f>
        <v>2126656</v>
      </c>
      <c r="P17" s="338"/>
      <c r="Q17" s="338"/>
      <c r="R17" s="338"/>
      <c r="S17" s="222" t="s">
        <v>550</v>
      </c>
      <c r="T17" s="223" t="s">
        <v>638</v>
      </c>
    </row>
    <row r="18" spans="1:21" s="74" customFormat="1" ht="61.2" customHeight="1">
      <c r="A18" s="907"/>
      <c r="B18" s="368"/>
      <c r="C18" s="222">
        <v>11005</v>
      </c>
      <c r="D18" s="223" t="s">
        <v>353</v>
      </c>
      <c r="E18" s="223" t="s">
        <v>364</v>
      </c>
      <c r="F18" s="222" t="s">
        <v>362</v>
      </c>
      <c r="G18" s="223">
        <f>'Հ4  '!H34</f>
        <v>12685.5</v>
      </c>
      <c r="H18" s="8"/>
      <c r="I18" s="8"/>
      <c r="J18" s="8"/>
      <c r="K18" s="8"/>
      <c r="L18" s="8"/>
      <c r="M18" s="8"/>
      <c r="N18" s="8"/>
      <c r="O18" s="8"/>
      <c r="P18" s="338"/>
      <c r="Q18" s="338"/>
      <c r="R18" s="338"/>
      <c r="S18" s="222" t="s">
        <v>551</v>
      </c>
      <c r="T18" s="222"/>
    </row>
    <row r="19" spans="1:21" s="74" customFormat="1" ht="75.599999999999994">
      <c r="A19" s="907"/>
      <c r="B19" s="368"/>
      <c r="C19" s="222">
        <v>11006</v>
      </c>
      <c r="D19" s="223" t="s">
        <v>354</v>
      </c>
      <c r="E19" s="223" t="s">
        <v>355</v>
      </c>
      <c r="F19" s="222" t="s">
        <v>352</v>
      </c>
      <c r="G19" s="223">
        <f>'Հ4  '!H54</f>
        <v>71481.19</v>
      </c>
      <c r="H19" s="342">
        <f>'Հ4  '!I54</f>
        <v>22953</v>
      </c>
      <c r="I19" s="342">
        <v>23820</v>
      </c>
      <c r="J19" s="8"/>
      <c r="K19" s="8"/>
      <c r="L19" s="8"/>
      <c r="M19" s="8"/>
      <c r="N19" s="8"/>
      <c r="O19" s="8"/>
      <c r="P19" s="338"/>
      <c r="Q19" s="338"/>
      <c r="R19" s="338"/>
      <c r="S19" s="222" t="s">
        <v>551</v>
      </c>
      <c r="T19" s="222"/>
    </row>
    <row r="20" spans="1:21" s="74" customFormat="1" ht="63" customHeight="1">
      <c r="A20" s="907"/>
      <c r="B20" s="368"/>
      <c r="C20" s="222">
        <v>11009</v>
      </c>
      <c r="D20" s="223" t="s">
        <v>356</v>
      </c>
      <c r="E20" s="223" t="s">
        <v>375</v>
      </c>
      <c r="F20" s="222" t="s">
        <v>362</v>
      </c>
      <c r="G20" s="223">
        <f>'Հ4  '!H70</f>
        <v>161528.21000000002</v>
      </c>
      <c r="H20" s="342">
        <f>'Հ4  '!I70</f>
        <v>1948700.1</v>
      </c>
      <c r="I20" s="342">
        <v>2022308.1</v>
      </c>
      <c r="J20" s="342">
        <f>'Հ4  '!J70</f>
        <v>994840.04100000008</v>
      </c>
      <c r="K20" s="342">
        <f>'Հ4  '!K70</f>
        <v>356972.31124700001</v>
      </c>
      <c r="L20" s="8"/>
      <c r="M20" s="342">
        <f>'Հ4  '!J70</f>
        <v>994840.04100000008</v>
      </c>
      <c r="N20" s="342">
        <f>'Հ4  '!K70</f>
        <v>356972.31124700001</v>
      </c>
      <c r="O20" s="8"/>
      <c r="P20" s="338"/>
      <c r="Q20" s="338"/>
      <c r="R20" s="338"/>
      <c r="S20" s="222" t="s">
        <v>553</v>
      </c>
      <c r="T20" s="8"/>
    </row>
    <row r="21" spans="1:21" s="74" customFormat="1" ht="82.2" customHeight="1">
      <c r="A21" s="907"/>
      <c r="B21" s="368"/>
      <c r="C21" s="222">
        <v>11010</v>
      </c>
      <c r="D21" s="223" t="s">
        <v>357</v>
      </c>
      <c r="E21" s="223" t="s">
        <v>374</v>
      </c>
      <c r="F21" s="222" t="s">
        <v>362</v>
      </c>
      <c r="G21" s="223">
        <f>'Հ4  '!H95</f>
        <v>126985.584</v>
      </c>
      <c r="H21" s="342">
        <f>'Հ4  '!I95</f>
        <v>248485.4</v>
      </c>
      <c r="I21" s="342">
        <v>305164</v>
      </c>
      <c r="J21" s="342">
        <f>'Հ4  '!J95</f>
        <v>124625.064</v>
      </c>
      <c r="K21" s="342">
        <f>'Հ4  '!K95</f>
        <v>344054.57177869836</v>
      </c>
      <c r="L21" s="8"/>
      <c r="M21" s="342">
        <f>'Հ4  '!J95</f>
        <v>124625.064</v>
      </c>
      <c r="N21" s="342">
        <f>'Հ4  '!K95</f>
        <v>344054.57177869836</v>
      </c>
      <c r="O21" s="8"/>
      <c r="P21" s="8"/>
      <c r="Q21" s="8"/>
      <c r="R21" s="8"/>
      <c r="S21" s="222" t="s">
        <v>553</v>
      </c>
      <c r="T21" s="8"/>
    </row>
    <row r="22" spans="1:21" s="74" customFormat="1" ht="72.599999999999994" customHeight="1">
      <c r="A22" s="907"/>
      <c r="B22" s="368"/>
      <c r="C22" s="222">
        <v>12002</v>
      </c>
      <c r="D22" s="223" t="s">
        <v>547</v>
      </c>
      <c r="E22" s="223" t="s">
        <v>549</v>
      </c>
      <c r="F22" s="222" t="s">
        <v>362</v>
      </c>
      <c r="G22" s="223"/>
      <c r="H22" s="342">
        <f>'Հ4  '!I125</f>
        <v>127293.5</v>
      </c>
      <c r="I22" s="342"/>
      <c r="J22" s="342">
        <f>'Հ4  '!J125</f>
        <v>40445.912319540002</v>
      </c>
      <c r="K22" s="342">
        <f>'Հ4  '!K125</f>
        <v>50714.025748268301</v>
      </c>
      <c r="L22" s="8"/>
      <c r="M22" s="342">
        <f>'Հ4  '!J125</f>
        <v>40445.912319540002</v>
      </c>
      <c r="N22" s="342">
        <f>'Հ4  '!K125</f>
        <v>50714.025748268301</v>
      </c>
      <c r="O22" s="8"/>
      <c r="P22" s="8"/>
      <c r="Q22" s="8"/>
      <c r="R22" s="8"/>
      <c r="S22" s="222" t="s">
        <v>553</v>
      </c>
      <c r="T22" s="8"/>
    </row>
    <row r="23" spans="1:21" s="74" customFormat="1" ht="62.4" customHeight="1">
      <c r="A23" s="908"/>
      <c r="B23" s="169"/>
      <c r="C23" s="222">
        <v>32003</v>
      </c>
      <c r="D23" s="223" t="s">
        <v>378</v>
      </c>
      <c r="E23" s="223" t="s">
        <v>360</v>
      </c>
      <c r="F23" s="222" t="s">
        <v>379</v>
      </c>
      <c r="G23" s="222">
        <f>'Հ4  '!H134</f>
        <v>298200</v>
      </c>
      <c r="H23" s="461"/>
      <c r="I23" s="461"/>
      <c r="J23" s="461">
        <f>'Հ4  '!J134</f>
        <v>0</v>
      </c>
      <c r="K23" s="461">
        <f>'Հ4  '!K134</f>
        <v>3000</v>
      </c>
      <c r="L23" s="10"/>
      <c r="M23" s="461">
        <f>'Հ4  '!J134</f>
        <v>0</v>
      </c>
      <c r="N23" s="461">
        <f>'Հ4  '!K134</f>
        <v>3000</v>
      </c>
      <c r="O23" s="741"/>
      <c r="P23" s="8"/>
      <c r="Q23" s="8"/>
      <c r="R23" s="8"/>
      <c r="S23" s="222" t="s">
        <v>550</v>
      </c>
      <c r="T23" s="223" t="s">
        <v>639</v>
      </c>
    </row>
    <row r="24" spans="1:21" s="74" customFormat="1" ht="81.599999999999994" customHeight="1">
      <c r="A24" s="224"/>
      <c r="B24" s="224">
        <v>1071</v>
      </c>
      <c r="C24" s="904" t="s">
        <v>367</v>
      </c>
      <c r="D24" s="905"/>
      <c r="E24" s="224" t="s">
        <v>368</v>
      </c>
      <c r="F24" s="224" t="s">
        <v>369</v>
      </c>
      <c r="G24" s="391">
        <f>SUM(G25+G26+G27+G28+G29+G30+G31)</f>
        <v>6407216.0679000001</v>
      </c>
      <c r="H24" s="391">
        <f t="shared" ref="H24:R24" si="12">SUM(H25+H26+H27+H28+H29+H30+H31)</f>
        <v>8276520.0839999998</v>
      </c>
      <c r="I24" s="391">
        <f t="shared" si="12"/>
        <v>9178155.4773899093</v>
      </c>
      <c r="J24" s="391">
        <f t="shared" si="12"/>
        <v>8145306.4996088129</v>
      </c>
      <c r="K24" s="391">
        <f t="shared" si="12"/>
        <v>9052431.3029653896</v>
      </c>
      <c r="L24" s="391">
        <f t="shared" si="12"/>
        <v>9057521.6262187213</v>
      </c>
      <c r="M24" s="391">
        <f t="shared" si="12"/>
        <v>8145306.4996088129</v>
      </c>
      <c r="N24" s="391">
        <f t="shared" si="12"/>
        <v>9052431.3029653896</v>
      </c>
      <c r="O24" s="391">
        <f t="shared" si="12"/>
        <v>9057521.6262187213</v>
      </c>
      <c r="P24" s="391">
        <f t="shared" si="12"/>
        <v>0</v>
      </c>
      <c r="Q24" s="391">
        <f t="shared" si="12"/>
        <v>0</v>
      </c>
      <c r="R24" s="391">
        <f t="shared" si="12"/>
        <v>0</v>
      </c>
      <c r="S24" s="216"/>
      <c r="T24" s="216"/>
      <c r="U24" s="216"/>
    </row>
    <row r="25" spans="1:21" s="74" customFormat="1" ht="361.8" customHeight="1">
      <c r="A25" s="906"/>
      <c r="B25" s="906"/>
      <c r="C25" s="222">
        <v>11001</v>
      </c>
      <c r="D25" s="223" t="s">
        <v>383</v>
      </c>
      <c r="E25" s="223" t="s">
        <v>371</v>
      </c>
      <c r="F25" s="223" t="s">
        <v>362</v>
      </c>
      <c r="G25" s="342">
        <f>'Հ4  '!H145</f>
        <v>1252982.8443</v>
      </c>
      <c r="H25" s="342">
        <f>'Հ4  '!I145</f>
        <v>1148786.1840000001</v>
      </c>
      <c r="I25" s="342">
        <v>1232788.5773899097</v>
      </c>
      <c r="J25" s="342">
        <f>'Հ4  '!J145</f>
        <v>1279443.8829000001</v>
      </c>
      <c r="K25" s="342">
        <f>'Հ4  '!K145</f>
        <v>1299814.1946299097</v>
      </c>
      <c r="L25" s="342">
        <f>'Հ4  '!L145</f>
        <v>1289861.8946299094</v>
      </c>
      <c r="M25" s="342">
        <f>'Հ4  '!J145</f>
        <v>1279443.8829000001</v>
      </c>
      <c r="N25" s="342">
        <f>'Հ4  '!K145</f>
        <v>1299814.1946299097</v>
      </c>
      <c r="O25" s="342">
        <f>'Հ4  '!L145</f>
        <v>1289861.8946299094</v>
      </c>
      <c r="P25" s="8"/>
      <c r="Q25" s="8"/>
      <c r="R25" s="8"/>
      <c r="S25" s="8"/>
      <c r="T25" s="357" t="s">
        <v>1106</v>
      </c>
      <c r="U25" s="357" t="s">
        <v>1105</v>
      </c>
    </row>
    <row r="26" spans="1:21" s="74" customFormat="1" ht="31.95" customHeight="1">
      <c r="A26" s="907"/>
      <c r="B26" s="907"/>
      <c r="C26" s="222">
        <v>11002</v>
      </c>
      <c r="D26" s="223" t="s">
        <v>372</v>
      </c>
      <c r="E26" s="223" t="s">
        <v>381</v>
      </c>
      <c r="F26" s="223" t="s">
        <v>362</v>
      </c>
      <c r="G26" s="342">
        <f>'Հ4  '!H185</f>
        <v>104878.844</v>
      </c>
      <c r="H26" s="342">
        <f>'Հ4  '!I185</f>
        <v>105442</v>
      </c>
      <c r="I26" s="342">
        <v>106275.3</v>
      </c>
      <c r="J26" s="342">
        <f>'Հ4  '!J185</f>
        <v>107588.29999999999</v>
      </c>
      <c r="K26" s="342">
        <f>'Հ4  '!K185</f>
        <v>107588.29999999999</v>
      </c>
      <c r="L26" s="342">
        <f>'Հ4  '!L185</f>
        <v>107588.29999999999</v>
      </c>
      <c r="M26" s="342">
        <f>'Հ4  '!J185</f>
        <v>107588.29999999999</v>
      </c>
      <c r="N26" s="342">
        <f>'Հ4  '!K185</f>
        <v>107588.29999999999</v>
      </c>
      <c r="O26" s="342">
        <f>'Հ4  '!L185</f>
        <v>107588.29999999999</v>
      </c>
      <c r="P26" s="342"/>
      <c r="Q26" s="342"/>
      <c r="R26" s="342"/>
      <c r="S26" s="222" t="s">
        <v>550</v>
      </c>
      <c r="T26" s="338" t="s">
        <v>1104</v>
      </c>
    </row>
    <row r="27" spans="1:21" s="74" customFormat="1" ht="167.4" customHeight="1">
      <c r="A27" s="907"/>
      <c r="B27" s="907"/>
      <c r="C27" s="222">
        <v>11003</v>
      </c>
      <c r="D27" s="223" t="s">
        <v>437</v>
      </c>
      <c r="E27" s="223" t="s">
        <v>432</v>
      </c>
      <c r="F27" s="223" t="s">
        <v>362</v>
      </c>
      <c r="G27" s="342">
        <f>'Հ4  '!H217</f>
        <v>3761701</v>
      </c>
      <c r="H27" s="342">
        <f>'Հ4  '!I217</f>
        <v>5680741.8999999994</v>
      </c>
      <c r="I27" s="342">
        <v>7539762.5999999996</v>
      </c>
      <c r="J27" s="342">
        <f>'Հ4  '!J217</f>
        <v>6671538.3167088125</v>
      </c>
      <c r="K27" s="342">
        <f>'Հ4  '!K217</f>
        <v>7547787.2083354797</v>
      </c>
      <c r="L27" s="342">
        <f>'Հ4  '!L217</f>
        <v>7562829.8315888122</v>
      </c>
      <c r="M27" s="342">
        <f>'Հ4  '!J217</f>
        <v>6671538.3167088125</v>
      </c>
      <c r="N27" s="342">
        <f>'Հ4  '!K217</f>
        <v>7547787.2083354797</v>
      </c>
      <c r="O27" s="342">
        <f>'Հ4  '!L217</f>
        <v>7562829.8315888122</v>
      </c>
      <c r="P27" s="8"/>
      <c r="Q27" s="8"/>
      <c r="R27" s="8"/>
      <c r="S27" s="222" t="s">
        <v>550</v>
      </c>
      <c r="T27" s="338" t="s">
        <v>1122</v>
      </c>
      <c r="U27" s="755" t="s">
        <v>1123</v>
      </c>
    </row>
    <row r="28" spans="1:21" s="74" customFormat="1" ht="43.2" customHeight="1">
      <c r="A28" s="907"/>
      <c r="B28" s="907"/>
      <c r="C28" s="222">
        <v>11005</v>
      </c>
      <c r="D28" s="223" t="s">
        <v>658</v>
      </c>
      <c r="E28" s="223" t="s">
        <v>661</v>
      </c>
      <c r="F28" s="223" t="s">
        <v>362</v>
      </c>
      <c r="G28" s="342"/>
      <c r="H28" s="342">
        <f>'Հ4  '!I259</f>
        <v>1000000</v>
      </c>
      <c r="I28" s="342"/>
      <c r="J28" s="342"/>
      <c r="K28" s="342"/>
      <c r="L28" s="342"/>
      <c r="M28" s="342"/>
      <c r="N28" s="342"/>
      <c r="O28" s="342"/>
      <c r="P28" s="342"/>
      <c r="Q28" s="342"/>
      <c r="R28" s="342"/>
      <c r="S28" s="338" t="s">
        <v>551</v>
      </c>
      <c r="T28" s="8"/>
    </row>
    <row r="29" spans="1:21" s="74" customFormat="1" ht="73.2" customHeight="1">
      <c r="A29" s="907"/>
      <c r="B29" s="907"/>
      <c r="C29" s="222">
        <v>31001</v>
      </c>
      <c r="D29" s="223" t="s">
        <v>373</v>
      </c>
      <c r="E29" s="223" t="s">
        <v>382</v>
      </c>
      <c r="F29" s="223" t="s">
        <v>380</v>
      </c>
      <c r="G29" s="342">
        <f>'Հ4  '!H260</f>
        <v>18228.579600000001</v>
      </c>
      <c r="H29" s="342">
        <f>'Հ4  '!I260</f>
        <v>0</v>
      </c>
      <c r="I29" s="342">
        <v>21450</v>
      </c>
      <c r="J29" s="342">
        <f>'Հ4  '!J260</f>
        <v>10000</v>
      </c>
      <c r="K29" s="342">
        <f>'Հ4  '!K260</f>
        <v>20505.599999999999</v>
      </c>
      <c r="L29" s="342">
        <f>'Հ4  '!L260</f>
        <v>20505.599999999999</v>
      </c>
      <c r="M29" s="342">
        <f>'Հ4  '!J260</f>
        <v>10000</v>
      </c>
      <c r="N29" s="342">
        <f>'Հ4  '!K260</f>
        <v>20505.599999999999</v>
      </c>
      <c r="O29" s="342">
        <f>'Հ4  '!L260</f>
        <v>20505.599999999999</v>
      </c>
      <c r="P29" s="8"/>
      <c r="Q29" s="8"/>
      <c r="R29" s="8"/>
      <c r="S29" s="8"/>
      <c r="T29" s="338" t="s">
        <v>651</v>
      </c>
    </row>
    <row r="30" spans="1:21" s="74" customFormat="1" ht="210.6" customHeight="1">
      <c r="A30" s="395"/>
      <c r="B30" s="8"/>
      <c r="C30" s="222">
        <v>31002</v>
      </c>
      <c r="D30" s="223" t="s">
        <v>435</v>
      </c>
      <c r="E30" s="223" t="s">
        <v>382</v>
      </c>
      <c r="F30" s="223" t="s">
        <v>380</v>
      </c>
      <c r="G30" s="342">
        <f>'Հ4  '!H269</f>
        <v>1269424.8</v>
      </c>
      <c r="H30" s="342">
        <f>'Հ4  '!I269</f>
        <v>0</v>
      </c>
      <c r="I30" s="342">
        <v>277879</v>
      </c>
      <c r="J30" s="342">
        <f>'Հ4  '!J269</f>
        <v>76736</v>
      </c>
      <c r="K30" s="342">
        <f>'Հ4  '!K269</f>
        <v>76736</v>
      </c>
      <c r="L30" s="342">
        <f>'Հ4  '!L269</f>
        <v>76736</v>
      </c>
      <c r="M30" s="342">
        <f>'Հ4  '!J269</f>
        <v>76736</v>
      </c>
      <c r="N30" s="342">
        <f>'Հ4  '!K269</f>
        <v>76736</v>
      </c>
      <c r="O30" s="342">
        <f>'Հ4  '!L269</f>
        <v>76736</v>
      </c>
      <c r="P30" s="8"/>
      <c r="Q30" s="8"/>
      <c r="R30" s="8"/>
      <c r="S30" s="222" t="s">
        <v>550</v>
      </c>
      <c r="T30" s="342" t="s">
        <v>1128</v>
      </c>
      <c r="U30" s="755" t="s">
        <v>1124</v>
      </c>
    </row>
    <row r="31" spans="1:21" s="74" customFormat="1" ht="210.6" customHeight="1">
      <c r="A31" s="752"/>
      <c r="B31" s="8"/>
      <c r="C31" s="222">
        <v>32003</v>
      </c>
      <c r="D31" s="223" t="s">
        <v>652</v>
      </c>
      <c r="E31" s="223" t="s">
        <v>656</v>
      </c>
      <c r="F31" s="223" t="s">
        <v>380</v>
      </c>
      <c r="G31" s="342">
        <f>'Հ4  '!H278</f>
        <v>0</v>
      </c>
      <c r="H31" s="342">
        <f>'Հ4  '!I278</f>
        <v>341550</v>
      </c>
      <c r="I31" s="342"/>
      <c r="J31" s="342">
        <f>'Հ4  '!J278</f>
        <v>0</v>
      </c>
      <c r="K31" s="342">
        <f>'Հ4  '!K278</f>
        <v>0</v>
      </c>
      <c r="L31" s="342">
        <f>'Հ4  '!L278</f>
        <v>0</v>
      </c>
      <c r="M31" s="342">
        <f>'Հ4  '!J278</f>
        <v>0</v>
      </c>
      <c r="N31" s="342">
        <f>'Հ4  '!K278</f>
        <v>0</v>
      </c>
      <c r="O31" s="342">
        <f>'Հ4  '!L278</f>
        <v>0</v>
      </c>
      <c r="P31" s="8"/>
      <c r="Q31" s="8"/>
      <c r="R31" s="8"/>
      <c r="S31" s="222" t="s">
        <v>551</v>
      </c>
      <c r="T31" s="342" t="s">
        <v>1127</v>
      </c>
      <c r="U31" s="755" t="s">
        <v>1124</v>
      </c>
    </row>
    <row r="32" spans="1:21" s="74" customFormat="1" ht="93.6" customHeight="1">
      <c r="A32" s="224"/>
      <c r="B32" s="224">
        <v>1133</v>
      </c>
      <c r="C32" s="904" t="s">
        <v>384</v>
      </c>
      <c r="D32" s="905"/>
      <c r="E32" s="224" t="s">
        <v>385</v>
      </c>
      <c r="F32" s="224" t="s">
        <v>386</v>
      </c>
      <c r="G32" s="391">
        <f>SUM(G33)</f>
        <v>846472</v>
      </c>
      <c r="H32" s="391">
        <f t="shared" ref="H32:O32" si="13">SUM(H33)</f>
        <v>685960.9</v>
      </c>
      <c r="I32" s="391">
        <f t="shared" si="13"/>
        <v>791794.1</v>
      </c>
      <c r="J32" s="391">
        <f t="shared" si="13"/>
        <v>728280.31864499999</v>
      </c>
      <c r="K32" s="391">
        <f t="shared" si="13"/>
        <v>1035365.05116</v>
      </c>
      <c r="L32" s="391">
        <f t="shared" si="13"/>
        <v>713684.23562499951</v>
      </c>
      <c r="M32" s="391">
        <f t="shared" si="13"/>
        <v>728280.31864499999</v>
      </c>
      <c r="N32" s="391">
        <f t="shared" si="13"/>
        <v>1035365.05116</v>
      </c>
      <c r="O32" s="391">
        <f t="shared" si="13"/>
        <v>713684.23562499951</v>
      </c>
      <c r="P32" s="216"/>
      <c r="Q32" s="216"/>
      <c r="R32" s="216"/>
      <c r="S32" s="216"/>
      <c r="T32" s="216"/>
    </row>
    <row r="33" spans="1:20" s="74" customFormat="1" ht="64.2" customHeight="1">
      <c r="A33" s="8"/>
      <c r="B33" s="8"/>
      <c r="C33" s="222">
        <v>12001</v>
      </c>
      <c r="D33" s="223" t="s">
        <v>388</v>
      </c>
      <c r="E33" s="223" t="s">
        <v>389</v>
      </c>
      <c r="F33" s="223" t="s">
        <v>390</v>
      </c>
      <c r="G33" s="342">
        <f>'Հ4  '!H292</f>
        <v>846472</v>
      </c>
      <c r="H33" s="342">
        <f>'Հ4  '!I292</f>
        <v>685960.9</v>
      </c>
      <c r="I33" s="342">
        <v>791794.1</v>
      </c>
      <c r="J33" s="342">
        <f>'Հ4  '!J292:J292</f>
        <v>728280.31864499999</v>
      </c>
      <c r="K33" s="342">
        <f>'Հ4  '!K292</f>
        <v>1035365.05116</v>
      </c>
      <c r="L33" s="342">
        <f>'Հ4  '!L292</f>
        <v>713684.23562499951</v>
      </c>
      <c r="M33" s="342">
        <f>'Հ4  '!J292</f>
        <v>728280.31864499999</v>
      </c>
      <c r="N33" s="342">
        <f>'Հ4  '!K292</f>
        <v>1035365.05116</v>
      </c>
      <c r="O33" s="342">
        <f>'Հ4  '!L292</f>
        <v>713684.23562499951</v>
      </c>
      <c r="P33" s="342"/>
      <c r="Q33" s="8"/>
      <c r="R33" s="8"/>
      <c r="S33" s="8"/>
      <c r="T33" s="338" t="s">
        <v>650</v>
      </c>
    </row>
    <row r="34" spans="1:20" s="74" customFormat="1" ht="56.4" customHeight="1">
      <c r="A34" s="224"/>
      <c r="B34" s="224">
        <v>1155</v>
      </c>
      <c r="C34" s="904" t="s">
        <v>391</v>
      </c>
      <c r="D34" s="905"/>
      <c r="E34" s="224" t="s">
        <v>392</v>
      </c>
      <c r="F34" s="224" t="s">
        <v>393</v>
      </c>
      <c r="G34" s="391">
        <f>SUM(G35:G48)</f>
        <v>1639268.42</v>
      </c>
      <c r="H34" s="391">
        <f>SUM(H35:H48)</f>
        <v>1112077.7</v>
      </c>
      <c r="I34" s="391">
        <f>SUM(I35:I48)</f>
        <v>1112077.7</v>
      </c>
      <c r="J34" s="391">
        <f>SUM(J35:J48)</f>
        <v>1084935.9339999999</v>
      </c>
      <c r="K34" s="391">
        <f t="shared" ref="K34:L34" si="14">SUM(K35:K48)</f>
        <v>1051766.2340000002</v>
      </c>
      <c r="L34" s="391">
        <f t="shared" si="14"/>
        <v>1033966.2340000001</v>
      </c>
      <c r="M34" s="391">
        <f>SUM(M35:M48)</f>
        <v>1116493.3339999998</v>
      </c>
      <c r="N34" s="391">
        <f>SUM(N35:N48)</f>
        <v>1083323.6340000001</v>
      </c>
      <c r="O34" s="391">
        <f>SUM(O35:O48)</f>
        <v>1065523.6340000001</v>
      </c>
      <c r="P34" s="216"/>
      <c r="Q34" s="216"/>
      <c r="R34" s="216"/>
      <c r="S34" s="216"/>
      <c r="T34" s="216"/>
    </row>
    <row r="35" spans="1:20" s="74" customFormat="1" ht="81.599999999999994" customHeight="1">
      <c r="A35" s="906"/>
      <c r="B35" s="8"/>
      <c r="C35" s="222">
        <v>11001</v>
      </c>
      <c r="D35" s="223" t="s">
        <v>394</v>
      </c>
      <c r="E35" s="223" t="s">
        <v>395</v>
      </c>
      <c r="F35" s="223" t="s">
        <v>396</v>
      </c>
      <c r="G35" s="342">
        <f>'Հ4  '!H303</f>
        <v>94434.75</v>
      </c>
      <c r="H35" s="8"/>
      <c r="I35" s="8"/>
      <c r="J35" s="8"/>
      <c r="K35" s="8"/>
      <c r="L35" s="8"/>
      <c r="M35" s="8"/>
      <c r="N35" s="8"/>
      <c r="O35" s="8"/>
      <c r="P35" s="8"/>
      <c r="Q35" s="8"/>
      <c r="R35" s="8"/>
      <c r="S35" s="8"/>
      <c r="T35" s="8"/>
    </row>
    <row r="36" spans="1:20" s="74" customFormat="1" ht="93" customHeight="1">
      <c r="A36" s="907"/>
      <c r="B36" s="8"/>
      <c r="C36" s="222">
        <v>11003</v>
      </c>
      <c r="D36" s="223" t="s">
        <v>416</v>
      </c>
      <c r="E36" s="223" t="s">
        <v>424</v>
      </c>
      <c r="F36" s="223" t="s">
        <v>362</v>
      </c>
      <c r="G36" s="342">
        <f>'Հ4  '!H311</f>
        <v>24723.360000000001</v>
      </c>
      <c r="H36" s="342">
        <f>'Հ4  '!I311</f>
        <v>15452.2</v>
      </c>
      <c r="I36" s="342">
        <f>'Հ4  '!J311</f>
        <v>15452.2</v>
      </c>
      <c r="J36" s="342">
        <f>'Հ4  '!J311</f>
        <v>15452.2</v>
      </c>
      <c r="K36" s="342">
        <f>'Հ4  '!K311</f>
        <v>15452.2</v>
      </c>
      <c r="L36" s="342">
        <f>'Հ4  '!L311</f>
        <v>15452.2</v>
      </c>
      <c r="M36" s="342">
        <f>'Հ4  '!J311</f>
        <v>15452.2</v>
      </c>
      <c r="N36" s="342">
        <f>'Հ4  '!K311</f>
        <v>15452.2</v>
      </c>
      <c r="O36" s="342">
        <f>'Հ4  '!L311</f>
        <v>15452.2</v>
      </c>
      <c r="P36" s="342"/>
      <c r="Q36" s="8"/>
      <c r="R36" s="8"/>
      <c r="S36" s="222" t="s">
        <v>550</v>
      </c>
      <c r="T36" s="338" t="s">
        <v>555</v>
      </c>
    </row>
    <row r="37" spans="1:20" s="74" customFormat="1" ht="48" customHeight="1">
      <c r="A37" s="907"/>
      <c r="B37" s="8"/>
      <c r="C37" s="222">
        <v>11004</v>
      </c>
      <c r="D37" s="223" t="s">
        <v>417</v>
      </c>
      <c r="E37" s="223" t="s">
        <v>425</v>
      </c>
      <c r="F37" s="223" t="s">
        <v>362</v>
      </c>
      <c r="G37" s="342">
        <f>'Հ4  '!H319</f>
        <v>148579.79999999999</v>
      </c>
      <c r="H37" s="342">
        <f>'Հ4  '!I319</f>
        <v>165088.70000000001</v>
      </c>
      <c r="I37" s="342">
        <v>165088.70000000001</v>
      </c>
      <c r="J37" s="342">
        <f>'Հ4  '!J319</f>
        <v>127103.7</v>
      </c>
      <c r="K37" s="342">
        <f>'Հ4  '!K319</f>
        <v>127103.7</v>
      </c>
      <c r="L37" s="342">
        <f>'Հ4  '!L319</f>
        <v>127103.7</v>
      </c>
      <c r="M37" s="342">
        <f>'Հ4  '!J319</f>
        <v>127103.7</v>
      </c>
      <c r="N37" s="342">
        <f>'Հ4  '!K319</f>
        <v>127103.7</v>
      </c>
      <c r="O37" s="342">
        <f>'Հ4  '!L319</f>
        <v>127103.7</v>
      </c>
      <c r="P37" s="8"/>
      <c r="Q37" s="8"/>
      <c r="R37" s="8"/>
      <c r="S37" s="222" t="s">
        <v>550</v>
      </c>
      <c r="T37" s="338" t="s">
        <v>728</v>
      </c>
    </row>
    <row r="38" spans="1:20" s="74" customFormat="1" ht="48" customHeight="1">
      <c r="A38" s="907"/>
      <c r="B38" s="8"/>
      <c r="C38" s="222">
        <v>11005</v>
      </c>
      <c r="D38" s="223" t="s">
        <v>418</v>
      </c>
      <c r="E38" s="223" t="s">
        <v>400</v>
      </c>
      <c r="F38" s="223" t="s">
        <v>362</v>
      </c>
      <c r="G38" s="342">
        <f>'Հ4  '!H328</f>
        <v>53830.9</v>
      </c>
      <c r="H38" s="342">
        <f>'Հ4  '!I328</f>
        <v>61701</v>
      </c>
      <c r="I38" s="342">
        <v>61701</v>
      </c>
      <c r="J38" s="342">
        <f>'Հ4  '!J328</f>
        <v>61701</v>
      </c>
      <c r="K38" s="342">
        <f>'Հ4  '!K328</f>
        <v>61701</v>
      </c>
      <c r="L38" s="342">
        <f>'Հ4  '!L328</f>
        <v>61701</v>
      </c>
      <c r="M38" s="342">
        <f>'Հ4  '!J328</f>
        <v>61701</v>
      </c>
      <c r="N38" s="342">
        <f>'Հ4  '!K328</f>
        <v>61701</v>
      </c>
      <c r="O38" s="342">
        <f>'Հ4  '!L328</f>
        <v>61701</v>
      </c>
      <c r="P38" s="8"/>
      <c r="Q38" s="8"/>
      <c r="R38" s="8"/>
      <c r="S38" s="222" t="s">
        <v>550</v>
      </c>
      <c r="T38" s="338" t="s">
        <v>648</v>
      </c>
    </row>
    <row r="39" spans="1:20" s="74" customFormat="1" ht="193.2" customHeight="1">
      <c r="A39" s="907"/>
      <c r="B39" s="8"/>
      <c r="C39" s="222">
        <v>11006</v>
      </c>
      <c r="D39" s="223" t="s">
        <v>419</v>
      </c>
      <c r="E39" s="223" t="s">
        <v>402</v>
      </c>
      <c r="F39" s="223" t="s">
        <v>362</v>
      </c>
      <c r="G39" s="342">
        <f>'Հ4  '!H337</f>
        <v>115799.7</v>
      </c>
      <c r="H39" s="342">
        <f>'Հ4  '!I337</f>
        <v>115799.7</v>
      </c>
      <c r="I39" s="342">
        <v>115799.7</v>
      </c>
      <c r="J39" s="342">
        <f>'Հ4  '!J337</f>
        <v>153662.93400000001</v>
      </c>
      <c r="K39" s="342">
        <f>'Հ4  '!K337</f>
        <v>153662.93400000001</v>
      </c>
      <c r="L39" s="342">
        <f>'Հ4  '!L337</f>
        <v>153662.93400000001</v>
      </c>
      <c r="M39" s="342">
        <f>'Հ4  '!J337</f>
        <v>153662.93400000001</v>
      </c>
      <c r="N39" s="342">
        <f>'Հ4  '!K337</f>
        <v>153662.93400000001</v>
      </c>
      <c r="O39" s="342">
        <f>'Հ4  '!L337</f>
        <v>153662.93400000001</v>
      </c>
      <c r="P39" s="8"/>
      <c r="Q39" s="8"/>
      <c r="R39" s="8"/>
      <c r="S39" s="222" t="s">
        <v>550</v>
      </c>
      <c r="T39" s="338" t="s">
        <v>738</v>
      </c>
    </row>
    <row r="40" spans="1:20" s="74" customFormat="1" ht="39.6" customHeight="1">
      <c r="A40" s="907"/>
      <c r="B40" s="8"/>
      <c r="C40" s="222">
        <v>11007</v>
      </c>
      <c r="D40" s="223" t="s">
        <v>420</v>
      </c>
      <c r="E40" s="223" t="s">
        <v>404</v>
      </c>
      <c r="F40" s="223" t="s">
        <v>362</v>
      </c>
      <c r="G40" s="342">
        <f>'Հ4  '!H346</f>
        <v>111787.9</v>
      </c>
      <c r="H40" s="342">
        <f>'Հ4  '!I346</f>
        <v>111787.9</v>
      </c>
      <c r="I40" s="342">
        <v>111787.9</v>
      </c>
      <c r="J40" s="342">
        <f>'Հ4  '!J346</f>
        <v>111787.9</v>
      </c>
      <c r="K40" s="342">
        <f>'Հ4  '!K346</f>
        <v>111787.9</v>
      </c>
      <c r="L40" s="342">
        <f>'Հ4  '!L346</f>
        <v>111787.9</v>
      </c>
      <c r="M40" s="342">
        <f>'Հ4  '!J346</f>
        <v>111787.9</v>
      </c>
      <c r="N40" s="342">
        <f>'Հ4  '!K346</f>
        <v>111787.9</v>
      </c>
      <c r="O40" s="342">
        <f>'Հ4  '!L346</f>
        <v>111787.9</v>
      </c>
      <c r="P40" s="342"/>
      <c r="Q40" s="8"/>
      <c r="R40" s="8"/>
      <c r="S40" s="222" t="s">
        <v>550</v>
      </c>
      <c r="T40" s="338" t="s">
        <v>558</v>
      </c>
    </row>
    <row r="41" spans="1:20" s="74" customFormat="1" ht="87.6" customHeight="1">
      <c r="A41" s="907"/>
      <c r="B41" s="8"/>
      <c r="C41" s="222">
        <v>11008</v>
      </c>
      <c r="D41" s="223" t="s">
        <v>421</v>
      </c>
      <c r="E41" s="223" t="s">
        <v>406</v>
      </c>
      <c r="F41" s="223" t="s">
        <v>362</v>
      </c>
      <c r="G41" s="342">
        <f>'Հ4  '!H355</f>
        <v>47332</v>
      </c>
      <c r="H41" s="342">
        <f>'Հ4  '!I355</f>
        <v>47812.7</v>
      </c>
      <c r="I41" s="342">
        <v>47812.7</v>
      </c>
      <c r="J41" s="342">
        <f>'Հ4  '!J355</f>
        <v>47812.7</v>
      </c>
      <c r="K41" s="342">
        <f>'Հ4  '!K355</f>
        <v>52594</v>
      </c>
      <c r="L41" s="342">
        <f>'Հ4  '!L355</f>
        <v>52594</v>
      </c>
      <c r="M41" s="342">
        <f>'Հ4  '!J355</f>
        <v>47812.7</v>
      </c>
      <c r="N41" s="342">
        <f>'Հ4  '!K355</f>
        <v>52594</v>
      </c>
      <c r="O41" s="342">
        <f>'Հ4  '!L355</f>
        <v>52594</v>
      </c>
      <c r="P41" s="8"/>
      <c r="Q41" s="8"/>
      <c r="R41" s="8"/>
      <c r="S41" s="222" t="s">
        <v>550</v>
      </c>
      <c r="T41" s="386" t="s">
        <v>666</v>
      </c>
    </row>
    <row r="42" spans="1:20" s="74" customFormat="1" ht="49.2" customHeight="1">
      <c r="A42" s="907"/>
      <c r="B42" s="8"/>
      <c r="C42" s="222">
        <v>11010</v>
      </c>
      <c r="D42" s="223" t="s">
        <v>422</v>
      </c>
      <c r="E42" s="223" t="s">
        <v>426</v>
      </c>
      <c r="F42" s="223" t="s">
        <v>362</v>
      </c>
      <c r="G42" s="342">
        <f>'Հ4  '!H364</f>
        <v>119476.9</v>
      </c>
      <c r="H42" s="342">
        <f>'Հ4  '!I364</f>
        <v>122275.8</v>
      </c>
      <c r="I42" s="342">
        <v>122275.8</v>
      </c>
      <c r="J42" s="342">
        <f>'Հ4  '!J364</f>
        <v>122275.8</v>
      </c>
      <c r="K42" s="342">
        <f>'Հ4  '!K364</f>
        <v>122275.8</v>
      </c>
      <c r="L42" s="342">
        <f>'Հ4  '!L364</f>
        <v>122275.8</v>
      </c>
      <c r="M42" s="342">
        <f>'Հ4  '!J364</f>
        <v>122275.8</v>
      </c>
      <c r="N42" s="342">
        <f>'Հ4  '!K364</f>
        <v>122275.8</v>
      </c>
      <c r="O42" s="342">
        <f>'Հ4  '!L364</f>
        <v>122275.8</v>
      </c>
      <c r="P42" s="8"/>
      <c r="Q42" s="8"/>
      <c r="R42" s="8"/>
      <c r="S42" s="222" t="s">
        <v>550</v>
      </c>
      <c r="T42" s="338" t="s">
        <v>556</v>
      </c>
    </row>
    <row r="43" spans="1:20" s="74" customFormat="1" ht="120" customHeight="1">
      <c r="A43" s="907"/>
      <c r="B43" s="8"/>
      <c r="C43" s="222">
        <v>11012</v>
      </c>
      <c r="D43" s="223" t="s">
        <v>408</v>
      </c>
      <c r="E43" s="223" t="s">
        <v>427</v>
      </c>
      <c r="F43" s="223" t="s">
        <v>362</v>
      </c>
      <c r="G43" s="342">
        <f>'Հ4  '!H373</f>
        <v>4388.7</v>
      </c>
      <c r="H43" s="342">
        <f>'Հ4  '!I373</f>
        <v>4388.7</v>
      </c>
      <c r="I43" s="342">
        <v>4388.7</v>
      </c>
      <c r="J43" s="342">
        <f>'Հ4  '!J373</f>
        <v>4388.7</v>
      </c>
      <c r="K43" s="342">
        <f>'Հ4  '!K373</f>
        <v>4388.7</v>
      </c>
      <c r="L43" s="342">
        <f>'Հ4  '!L373</f>
        <v>4388.7</v>
      </c>
      <c r="M43" s="342">
        <f>'Հ4  '!J373</f>
        <v>4388.7</v>
      </c>
      <c r="N43" s="342">
        <f>'Հ4  '!K373</f>
        <v>4388.7</v>
      </c>
      <c r="O43" s="342">
        <f>'Հ4  '!L373</f>
        <v>4388.7</v>
      </c>
      <c r="P43" s="8"/>
      <c r="Q43" s="8"/>
      <c r="R43" s="8"/>
      <c r="S43" s="222" t="s">
        <v>550</v>
      </c>
      <c r="T43" s="338" t="s">
        <v>554</v>
      </c>
    </row>
    <row r="44" spans="1:20" s="74" customFormat="1" ht="52.95" customHeight="1">
      <c r="A44" s="907"/>
      <c r="B44" s="8"/>
      <c r="C44" s="222">
        <v>12004</v>
      </c>
      <c r="D44" s="223" t="s">
        <v>423</v>
      </c>
      <c r="E44" s="223" t="s">
        <v>410</v>
      </c>
      <c r="F44" s="223" t="s">
        <v>390</v>
      </c>
      <c r="G44" s="342">
        <f>'Հ4  '!H381</f>
        <v>495700</v>
      </c>
      <c r="H44" s="342">
        <f>'Հ4  '!I381</f>
        <v>467771</v>
      </c>
      <c r="I44" s="342">
        <v>467771</v>
      </c>
      <c r="J44" s="342">
        <f>'Հ4  '!J381</f>
        <v>440751</v>
      </c>
      <c r="K44" s="342">
        <f>'Հ4  '!K381</f>
        <v>402800</v>
      </c>
      <c r="L44" s="342">
        <f>'Հ4  '!L381</f>
        <v>385000</v>
      </c>
      <c r="M44" s="342">
        <f>'Հ4  '!J381</f>
        <v>440751</v>
      </c>
      <c r="N44" s="342">
        <f>'Հ4  '!K381</f>
        <v>402800</v>
      </c>
      <c r="O44" s="342">
        <f>'Հ4  '!L381</f>
        <v>385000</v>
      </c>
      <c r="P44" s="8"/>
      <c r="Q44" s="8"/>
      <c r="R44" s="8"/>
      <c r="S44" s="222" t="s">
        <v>550</v>
      </c>
      <c r="T44" s="338" t="s">
        <v>668</v>
      </c>
    </row>
    <row r="45" spans="1:20" s="74" customFormat="1" ht="67.95" customHeight="1">
      <c r="A45" s="907"/>
      <c r="B45" s="8"/>
      <c r="C45" s="222">
        <v>32001</v>
      </c>
      <c r="D45" s="223" t="s">
        <v>411</v>
      </c>
      <c r="E45" s="223" t="s">
        <v>415</v>
      </c>
      <c r="F45" s="223" t="s">
        <v>412</v>
      </c>
      <c r="G45" s="342">
        <f>'Հ4  '!H390</f>
        <v>406414.41000000003</v>
      </c>
      <c r="H45" s="8"/>
      <c r="I45" s="8"/>
      <c r="J45" s="8"/>
      <c r="K45" s="8"/>
      <c r="L45" s="8"/>
      <c r="M45" s="8"/>
      <c r="N45" s="8"/>
      <c r="O45" s="8"/>
      <c r="P45" s="8"/>
      <c r="Q45" s="8"/>
      <c r="R45" s="8"/>
      <c r="S45" s="8"/>
      <c r="T45" s="8"/>
    </row>
    <row r="46" spans="1:20" s="74" customFormat="1" ht="47.4" customHeight="1">
      <c r="A46" s="907"/>
      <c r="B46" s="8"/>
      <c r="C46" s="222">
        <v>32002</v>
      </c>
      <c r="D46" s="223" t="s">
        <v>413</v>
      </c>
      <c r="E46" s="223" t="s">
        <v>414</v>
      </c>
      <c r="F46" s="223" t="s">
        <v>379</v>
      </c>
      <c r="G46" s="342">
        <f>'Հ4  '!H407</f>
        <v>16800</v>
      </c>
      <c r="H46" s="8"/>
      <c r="I46" s="8"/>
      <c r="J46" s="8"/>
      <c r="K46" s="8"/>
      <c r="L46" s="8"/>
      <c r="M46" s="8"/>
      <c r="N46" s="8"/>
      <c r="O46" s="8"/>
      <c r="P46" s="8"/>
      <c r="Q46" s="8"/>
      <c r="R46" s="8"/>
      <c r="S46" s="8"/>
      <c r="T46" s="8"/>
    </row>
    <row r="47" spans="1:20" s="74" customFormat="1" ht="56.4" customHeight="1">
      <c r="A47" s="907"/>
      <c r="B47" s="8"/>
      <c r="C47" s="222" t="s">
        <v>1131</v>
      </c>
      <c r="D47" s="223" t="s">
        <v>413</v>
      </c>
      <c r="E47" s="223" t="s">
        <v>414</v>
      </c>
      <c r="F47" s="223" t="s">
        <v>379</v>
      </c>
      <c r="G47" s="342"/>
      <c r="H47" s="8"/>
      <c r="I47" s="8"/>
      <c r="J47" s="8"/>
      <c r="K47" s="8"/>
      <c r="L47" s="8"/>
      <c r="M47" s="8">
        <f>'Հ4  '!J408</f>
        <v>28000</v>
      </c>
      <c r="N47" s="8">
        <f>'Հ4  '!K408</f>
        <v>28000</v>
      </c>
      <c r="O47" s="8">
        <f>'Հ4  '!L408</f>
        <v>28000</v>
      </c>
      <c r="P47" s="8"/>
      <c r="Q47" s="8"/>
      <c r="R47" s="8"/>
      <c r="S47" s="8"/>
      <c r="T47" s="338" t="s">
        <v>1135</v>
      </c>
    </row>
    <row r="48" spans="1:20" s="74" customFormat="1" ht="66" customHeight="1">
      <c r="A48" s="907"/>
      <c r="B48" s="8"/>
      <c r="C48" s="222" t="s">
        <v>1131</v>
      </c>
      <c r="D48" s="223" t="s">
        <v>1132</v>
      </c>
      <c r="E48" s="223" t="s">
        <v>1134</v>
      </c>
      <c r="F48" s="223" t="s">
        <v>379</v>
      </c>
      <c r="G48" s="342">
        <f>'Հ4  '!H408</f>
        <v>0</v>
      </c>
      <c r="H48" s="8"/>
      <c r="I48" s="8"/>
      <c r="J48" s="8"/>
      <c r="K48" s="8"/>
      <c r="L48" s="8"/>
      <c r="M48" s="8">
        <f>'Հ4  '!J417</f>
        <v>3557.4</v>
      </c>
      <c r="N48" s="8">
        <f>'Հ4  '!K417</f>
        <v>3557.4</v>
      </c>
      <c r="O48" s="8">
        <f>'Հ4  '!L417</f>
        <v>3557.4</v>
      </c>
      <c r="P48" s="8"/>
      <c r="Q48" s="8"/>
      <c r="R48" s="8"/>
      <c r="S48" s="8"/>
      <c r="T48" s="338" t="s">
        <v>1136</v>
      </c>
    </row>
    <row r="49" spans="1:20" s="74" customFormat="1" ht="40.200000000000003" customHeight="1">
      <c r="A49" s="224"/>
      <c r="B49" s="224">
        <v>1173</v>
      </c>
      <c r="C49" s="904" t="s">
        <v>428</v>
      </c>
      <c r="D49" s="905"/>
      <c r="E49" s="224" t="s">
        <v>429</v>
      </c>
      <c r="F49" s="224" t="s">
        <v>430</v>
      </c>
      <c r="G49" s="391">
        <f>SUM(G50:G53)</f>
        <v>1554637.04</v>
      </c>
      <c r="H49" s="391">
        <f t="shared" ref="H49:P49" si="15">SUM(H50:H53)</f>
        <v>1368353.8</v>
      </c>
      <c r="I49" s="391">
        <f t="shared" si="15"/>
        <v>2051144.2</v>
      </c>
      <c r="J49" s="391">
        <f t="shared" si="15"/>
        <v>1368353.8</v>
      </c>
      <c r="K49" s="391">
        <f t="shared" si="15"/>
        <v>3721591.6102254745</v>
      </c>
      <c r="L49" s="391">
        <f t="shared" si="15"/>
        <v>4574966.2374997772</v>
      </c>
      <c r="M49" s="391">
        <f t="shared" si="15"/>
        <v>1368353.8</v>
      </c>
      <c r="N49" s="391">
        <f t="shared" si="15"/>
        <v>3721591.6102254745</v>
      </c>
      <c r="O49" s="391">
        <f t="shared" si="15"/>
        <v>4574966.2374997772</v>
      </c>
      <c r="P49" s="392">
        <f t="shared" si="15"/>
        <v>0</v>
      </c>
      <c r="Q49" s="216"/>
      <c r="R49" s="216"/>
      <c r="S49" s="216"/>
      <c r="T49" s="216"/>
    </row>
    <row r="50" spans="1:20" s="74" customFormat="1" ht="38.4" customHeight="1">
      <c r="A50" s="907"/>
      <c r="B50" s="8"/>
      <c r="C50" s="222">
        <v>11002</v>
      </c>
      <c r="D50" s="223" t="s">
        <v>438</v>
      </c>
      <c r="E50" s="223" t="s">
        <v>442</v>
      </c>
      <c r="F50" s="223" t="s">
        <v>362</v>
      </c>
      <c r="G50" s="342">
        <f>'Հ4  '!H421</f>
        <v>474447.8</v>
      </c>
      <c r="H50" s="342">
        <f>'Հ4  '!I421</f>
        <v>474447.8</v>
      </c>
      <c r="I50" s="342">
        <v>474447.8</v>
      </c>
      <c r="J50" s="342">
        <f>'Հ4  '!J421</f>
        <v>474447.8</v>
      </c>
      <c r="K50" s="342">
        <f>'Հ4  '!K421</f>
        <v>474447.8</v>
      </c>
      <c r="L50" s="342">
        <f>'Հ4  '!L421</f>
        <v>474447.8</v>
      </c>
      <c r="M50" s="342">
        <f>'Հ4  '!J421</f>
        <v>474447.8</v>
      </c>
      <c r="N50" s="342">
        <f>'Հ4  '!K421</f>
        <v>474447.8</v>
      </c>
      <c r="O50" s="342">
        <f>'Հ4  '!L421</f>
        <v>474447.8</v>
      </c>
      <c r="P50" s="8"/>
      <c r="Q50" s="8"/>
      <c r="R50" s="8"/>
      <c r="S50" s="222" t="s">
        <v>550</v>
      </c>
      <c r="T50" s="338" t="s">
        <v>657</v>
      </c>
    </row>
    <row r="51" spans="1:20" s="74" customFormat="1" ht="76.95" customHeight="1">
      <c r="A51" s="907"/>
      <c r="B51" s="8"/>
      <c r="C51" s="222">
        <v>11003</v>
      </c>
      <c r="D51" s="223" t="s">
        <v>439</v>
      </c>
      <c r="E51" s="223" t="s">
        <v>439</v>
      </c>
      <c r="F51" s="223" t="s">
        <v>362</v>
      </c>
      <c r="G51" s="342">
        <f>'Հ4  '!H430</f>
        <v>0</v>
      </c>
      <c r="H51" s="342">
        <f>'Հ4  '!I430</f>
        <v>3000</v>
      </c>
      <c r="I51" s="342">
        <v>3000</v>
      </c>
      <c r="J51" s="342">
        <f>'Հ4  '!J430</f>
        <v>3000</v>
      </c>
      <c r="K51" s="342">
        <f>'Հ4  '!K432</f>
        <v>3000</v>
      </c>
      <c r="L51" s="342">
        <f>'Հ4  '!L430</f>
        <v>3000</v>
      </c>
      <c r="M51" s="342">
        <f>'Հ4  '!J430</f>
        <v>3000</v>
      </c>
      <c r="N51" s="342">
        <f>'Հ4  '!K430</f>
        <v>3000</v>
      </c>
      <c r="O51" s="342">
        <f>'Հ4  '!L430</f>
        <v>3000</v>
      </c>
      <c r="P51" s="8"/>
      <c r="Q51" s="8"/>
      <c r="R51" s="8"/>
      <c r="S51" s="8"/>
      <c r="T51" s="338" t="s">
        <v>727</v>
      </c>
    </row>
    <row r="52" spans="1:20" s="74" customFormat="1" ht="85.2" customHeight="1">
      <c r="A52" s="907"/>
      <c r="B52" s="8"/>
      <c r="C52" s="222">
        <v>11004</v>
      </c>
      <c r="D52" s="223" t="s">
        <v>440</v>
      </c>
      <c r="E52" s="223" t="s">
        <v>443</v>
      </c>
      <c r="F52" s="223" t="s">
        <v>362</v>
      </c>
      <c r="G52" s="342">
        <f>'Հ4  '!H439</f>
        <v>148880</v>
      </c>
      <c r="H52" s="342">
        <f>'Հ4  '!I439</f>
        <v>390906</v>
      </c>
      <c r="I52" s="342">
        <v>521208</v>
      </c>
      <c r="J52" s="342">
        <f>'Հ4  '!J439</f>
        <v>390906</v>
      </c>
      <c r="K52" s="342">
        <f>'Հ4  '!K439</f>
        <v>345384</v>
      </c>
      <c r="L52" s="342">
        <f>'Հ4  '!L439</f>
        <v>302211</v>
      </c>
      <c r="M52" s="342">
        <f>'Հ4  '!J439</f>
        <v>390906</v>
      </c>
      <c r="N52" s="342">
        <f>'Հ4  '!K439</f>
        <v>345384</v>
      </c>
      <c r="O52" s="342">
        <f>'Հ4  '!L439</f>
        <v>302211</v>
      </c>
      <c r="P52" s="8"/>
      <c r="Q52" s="8"/>
      <c r="R52" s="8"/>
      <c r="S52" s="222" t="s">
        <v>550</v>
      </c>
      <c r="T52" s="342" t="s">
        <v>649</v>
      </c>
    </row>
    <row r="53" spans="1:20" s="74" customFormat="1" ht="94.95" customHeight="1">
      <c r="A53" s="907"/>
      <c r="B53" s="8"/>
      <c r="C53" s="222">
        <v>32001</v>
      </c>
      <c r="D53" s="223" t="s">
        <v>441</v>
      </c>
      <c r="E53" s="223" t="s">
        <v>444</v>
      </c>
      <c r="F53" s="223" t="s">
        <v>362</v>
      </c>
      <c r="G53" s="342">
        <f>'Հ4  '!H450</f>
        <v>931309.24</v>
      </c>
      <c r="H53" s="342">
        <f>'Հ4  '!I450</f>
        <v>500000</v>
      </c>
      <c r="I53" s="342">
        <v>1052488.3999999999</v>
      </c>
      <c r="J53" s="342">
        <f>'Հ4  '!J450</f>
        <v>500000</v>
      </c>
      <c r="K53" s="342">
        <f>'Հ4  '!K450</f>
        <v>2898759.8102254746</v>
      </c>
      <c r="L53" s="342">
        <f>'Հ4  '!L450</f>
        <v>3795307.4374997769</v>
      </c>
      <c r="M53" s="342">
        <f>'Հ4  '!J450</f>
        <v>500000</v>
      </c>
      <c r="N53" s="342">
        <f>'Հ4  '!K450</f>
        <v>2898759.8102254746</v>
      </c>
      <c r="O53" s="342">
        <f>'Հ4  '!L450</f>
        <v>3795307.4374997769</v>
      </c>
      <c r="P53" s="342"/>
      <c r="Q53" s="8"/>
      <c r="R53" s="8"/>
      <c r="S53" s="222" t="s">
        <v>550</v>
      </c>
      <c r="T53" s="342" t="s">
        <v>669</v>
      </c>
    </row>
    <row r="54" spans="1:20" s="74" customFormat="1" ht="88.2" customHeight="1">
      <c r="A54" s="224"/>
      <c r="B54" s="224">
        <v>1186</v>
      </c>
      <c r="C54" s="904" t="s">
        <v>445</v>
      </c>
      <c r="D54" s="905"/>
      <c r="E54" s="224" t="s">
        <v>446</v>
      </c>
      <c r="F54" s="224" t="s">
        <v>447</v>
      </c>
      <c r="G54" s="391">
        <f>SUM(G55)</f>
        <v>40800.699999999997</v>
      </c>
      <c r="H54" s="391">
        <f t="shared" ref="H54:O54" si="16">SUM(H55)</f>
        <v>40800.699999999997</v>
      </c>
      <c r="I54" s="391">
        <f t="shared" si="16"/>
        <v>40800.699999999997</v>
      </c>
      <c r="J54" s="391">
        <f t="shared" si="16"/>
        <v>40800.699999999997</v>
      </c>
      <c r="K54" s="391">
        <f t="shared" si="16"/>
        <v>40800.699999999997</v>
      </c>
      <c r="L54" s="391">
        <f t="shared" si="16"/>
        <v>40800.699999999997</v>
      </c>
      <c r="M54" s="391">
        <f t="shared" si="16"/>
        <v>40800.699999999997</v>
      </c>
      <c r="N54" s="391">
        <f t="shared" si="16"/>
        <v>40800.699999999997</v>
      </c>
      <c r="O54" s="391">
        <f t="shared" si="16"/>
        <v>40800.699999999997</v>
      </c>
      <c r="P54" s="216"/>
      <c r="Q54" s="216"/>
      <c r="R54" s="216"/>
      <c r="S54" s="216"/>
      <c r="T54" s="216"/>
    </row>
    <row r="55" spans="1:20" s="74" customFormat="1" ht="98.4" customHeight="1">
      <c r="A55" s="8"/>
      <c r="B55" s="8"/>
      <c r="C55" s="222">
        <v>11001</v>
      </c>
      <c r="D55" s="223" t="s">
        <v>448</v>
      </c>
      <c r="E55" s="223" t="s">
        <v>449</v>
      </c>
      <c r="F55" s="223" t="s">
        <v>362</v>
      </c>
      <c r="G55" s="342">
        <f>'Հ4  '!H461</f>
        <v>40800.699999999997</v>
      </c>
      <c r="H55" s="342">
        <f>'Հ4  '!I459</f>
        <v>40800.699999999997</v>
      </c>
      <c r="I55" s="342">
        <v>40800.699999999997</v>
      </c>
      <c r="J55" s="342">
        <f>'Հ4  '!J461</f>
        <v>40800.699999999997</v>
      </c>
      <c r="K55" s="342">
        <f>'Հ4  '!K461</f>
        <v>40800.699999999997</v>
      </c>
      <c r="L55" s="342">
        <f>'Հ4  '!L461</f>
        <v>40800.699999999997</v>
      </c>
      <c r="M55" s="342">
        <f>'Հ4  '!J461</f>
        <v>40800.699999999997</v>
      </c>
      <c r="N55" s="342">
        <f>'Հ4  '!K461</f>
        <v>40800.699999999997</v>
      </c>
      <c r="O55" s="342">
        <f>'Հ4  '!L461</f>
        <v>40800.699999999997</v>
      </c>
      <c r="P55" s="8"/>
      <c r="Q55" s="8"/>
      <c r="R55" s="8"/>
      <c r="S55" s="222" t="s">
        <v>550</v>
      </c>
      <c r="T55" s="342" t="s">
        <v>557</v>
      </c>
    </row>
    <row r="58" spans="1:20" ht="15">
      <c r="B58" s="195" t="s">
        <v>191</v>
      </c>
      <c r="G58" s="304"/>
    </row>
  </sheetData>
  <mergeCells count="26">
    <mergeCell ref="N4:O4"/>
    <mergeCell ref="B5:C5"/>
    <mergeCell ref="D5:D6"/>
    <mergeCell ref="E5:E6"/>
    <mergeCell ref="F5:F6"/>
    <mergeCell ref="A5:A6"/>
    <mergeCell ref="B8:B13"/>
    <mergeCell ref="C8:C13"/>
    <mergeCell ref="T5:T6"/>
    <mergeCell ref="G5:I5"/>
    <mergeCell ref="J5:L5"/>
    <mergeCell ref="M5:O5"/>
    <mergeCell ref="S5:S6"/>
    <mergeCell ref="P5:R5"/>
    <mergeCell ref="A8:A13"/>
    <mergeCell ref="B25:B29"/>
    <mergeCell ref="C14:D14"/>
    <mergeCell ref="A35:A48"/>
    <mergeCell ref="A50:A53"/>
    <mergeCell ref="A25:A29"/>
    <mergeCell ref="A16:A23"/>
    <mergeCell ref="C54:D54"/>
    <mergeCell ref="C34:D34"/>
    <mergeCell ref="C49:D49"/>
    <mergeCell ref="C24:D24"/>
    <mergeCell ref="C32:D32"/>
  </mergeCells>
  <pageMargins left="0.16" right="0.22" top="0.49" bottom="0.22" header="0.3" footer="0.16"/>
  <pageSetup paperSize="9" scale="36" fitToHeight="0"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
  <sheetViews>
    <sheetView zoomScaleNormal="100" workbookViewId="0">
      <selection activeCell="D32" sqref="D32"/>
    </sheetView>
  </sheetViews>
  <sheetFormatPr defaultRowHeight="14.4"/>
  <cols>
    <col min="1" max="1" width="4.109375" customWidth="1"/>
    <col min="2" max="2" width="15.33203125" customWidth="1"/>
    <col min="3" max="4" width="16.6640625" customWidth="1"/>
    <col min="5" max="5" width="15.44140625" customWidth="1"/>
    <col min="6" max="6" width="12.88671875" customWidth="1"/>
    <col min="7" max="7" width="12.6640625" customWidth="1"/>
    <col min="8" max="8" width="13" customWidth="1"/>
    <col min="9" max="9" width="13.6640625" customWidth="1"/>
    <col min="10" max="10" width="42.88671875" customWidth="1"/>
    <col min="11" max="11" width="33.44140625" customWidth="1"/>
    <col min="12" max="12" width="19.109375" customWidth="1"/>
  </cols>
  <sheetData>
    <row r="1" spans="1:12" ht="15">
      <c r="A1" s="2" t="s">
        <v>40</v>
      </c>
    </row>
    <row r="3" spans="1:12" ht="15">
      <c r="A3" s="4" t="s">
        <v>333</v>
      </c>
      <c r="B3" s="5"/>
      <c r="C3" s="5"/>
      <c r="D3" s="5"/>
      <c r="E3" s="6"/>
      <c r="F3" s="6"/>
      <c r="G3" s="6"/>
      <c r="H3" s="4"/>
      <c r="I3" s="4"/>
      <c r="J3" s="4"/>
      <c r="K3" s="4"/>
      <c r="L3" s="4"/>
    </row>
    <row r="5" spans="1:12">
      <c r="B5" s="920" t="s">
        <v>257</v>
      </c>
      <c r="C5" s="920" t="s">
        <v>258</v>
      </c>
      <c r="D5" s="920" t="s">
        <v>259</v>
      </c>
      <c r="E5" s="920" t="s">
        <v>2</v>
      </c>
      <c r="F5" s="920"/>
      <c r="G5" s="920"/>
      <c r="H5" s="920"/>
      <c r="I5" s="920"/>
      <c r="J5" s="921" t="s">
        <v>265</v>
      </c>
      <c r="K5" s="920" t="s">
        <v>266</v>
      </c>
      <c r="L5" s="920" t="s">
        <v>96</v>
      </c>
    </row>
    <row r="6" spans="1:12">
      <c r="B6" s="920"/>
      <c r="C6" s="920"/>
      <c r="D6" s="920"/>
      <c r="E6" s="779" t="s">
        <v>260</v>
      </c>
      <c r="F6" s="922" t="s">
        <v>3</v>
      </c>
      <c r="G6" s="922"/>
      <c r="H6" s="922" t="s">
        <v>4</v>
      </c>
      <c r="I6" s="922"/>
      <c r="J6" s="921"/>
      <c r="K6" s="920"/>
      <c r="L6" s="920"/>
    </row>
    <row r="7" spans="1:12" ht="24.75" customHeight="1">
      <c r="B7" s="920"/>
      <c r="C7" s="920"/>
      <c r="D7" s="920"/>
      <c r="E7" s="779"/>
      <c r="F7" s="12" t="s">
        <v>261</v>
      </c>
      <c r="G7" s="12" t="s">
        <v>262</v>
      </c>
      <c r="H7" s="12" t="s">
        <v>263</v>
      </c>
      <c r="I7" s="12" t="s">
        <v>264</v>
      </c>
      <c r="J7" s="921"/>
      <c r="K7" s="920"/>
      <c r="L7" s="920"/>
    </row>
    <row r="8" spans="1:12">
      <c r="B8" s="8"/>
      <c r="C8" s="8"/>
      <c r="D8" s="8"/>
      <c r="E8" s="9"/>
      <c r="F8" s="9"/>
      <c r="G8" s="9"/>
      <c r="H8" s="10"/>
      <c r="I8" s="10"/>
      <c r="J8" s="9"/>
      <c r="K8" s="10"/>
      <c r="L8" s="10"/>
    </row>
    <row r="9" spans="1:12">
      <c r="B9" s="8"/>
      <c r="C9" s="8"/>
      <c r="D9" s="8"/>
      <c r="E9" s="11"/>
      <c r="F9" s="11"/>
      <c r="G9" s="11"/>
      <c r="H9" s="11"/>
      <c r="I9" s="11"/>
      <c r="J9" s="11"/>
      <c r="K9" s="11"/>
      <c r="L9" s="11"/>
    </row>
    <row r="10" spans="1:12">
      <c r="B10" s="8"/>
      <c r="C10" s="8"/>
      <c r="D10" s="8"/>
      <c r="E10" s="11"/>
      <c r="F10" s="11"/>
      <c r="G10" s="11"/>
      <c r="H10" s="11"/>
      <c r="I10" s="11"/>
      <c r="J10" s="11"/>
      <c r="K10" s="11"/>
      <c r="L10" s="11"/>
    </row>
    <row r="11" spans="1:12" ht="20.25" customHeight="1"/>
    <row r="12" spans="1:12" ht="15">
      <c r="C12" s="195" t="s">
        <v>191</v>
      </c>
    </row>
    <row r="13" spans="1:12">
      <c r="C13" s="201"/>
    </row>
    <row r="14" spans="1:12">
      <c r="C14" s="202" t="s">
        <v>267</v>
      </c>
    </row>
  </sheetData>
  <mergeCells count="10">
    <mergeCell ref="L5:L7"/>
    <mergeCell ref="B5:B7"/>
    <mergeCell ref="C5:C7"/>
    <mergeCell ref="E5:I5"/>
    <mergeCell ref="J5:J7"/>
    <mergeCell ref="K5:K7"/>
    <mergeCell ref="E6:E7"/>
    <mergeCell ref="F6:G6"/>
    <mergeCell ref="H6:I6"/>
    <mergeCell ref="D5:D7"/>
  </mergeCells>
  <pageMargins left="0.16" right="0.16" top="0.75" bottom="0.75" header="0.3" footer="0.3"/>
  <pageSetup paperSize="9" scale="67"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98"/>
  <sheetViews>
    <sheetView topLeftCell="A24" workbookViewId="0">
      <selection activeCell="C13" sqref="C13"/>
    </sheetView>
  </sheetViews>
  <sheetFormatPr defaultColWidth="9.109375" defaultRowHeight="15"/>
  <cols>
    <col min="1" max="1" width="9.109375" style="60"/>
    <col min="2" max="2" width="62.44140625" style="146" customWidth="1"/>
    <col min="3" max="3" width="50.33203125" style="60" customWidth="1"/>
    <col min="4" max="4" width="45.109375" style="60" customWidth="1"/>
    <col min="5" max="5" width="37.109375" style="60" customWidth="1"/>
    <col min="6" max="6" width="18.88671875" style="60" customWidth="1"/>
    <col min="7" max="7" width="28.33203125" style="60" customWidth="1"/>
    <col min="8" max="8" width="4" style="60" hidden="1" customWidth="1"/>
    <col min="9" max="10" width="7.88671875" style="60" hidden="1" customWidth="1"/>
    <col min="11" max="16384" width="9.109375" style="60"/>
  </cols>
  <sheetData>
    <row r="1" spans="1:10" ht="18.600000000000001">
      <c r="A1" s="2" t="s">
        <v>197</v>
      </c>
      <c r="B1" s="60"/>
      <c r="C1" s="120"/>
      <c r="D1" s="120"/>
      <c r="E1" s="121"/>
      <c r="F1" s="121"/>
      <c r="H1" s="121" t="s">
        <v>125</v>
      </c>
      <c r="I1" s="121" t="s">
        <v>126</v>
      </c>
      <c r="J1" s="60" t="s">
        <v>127</v>
      </c>
    </row>
    <row r="2" spans="1:10" ht="18">
      <c r="A2" s="122"/>
      <c r="B2" s="123"/>
      <c r="C2" s="120"/>
      <c r="D2" s="120"/>
      <c r="E2" s="121"/>
      <c r="F2" s="121"/>
      <c r="H2" s="121" t="s">
        <v>128</v>
      </c>
      <c r="I2" s="60" t="s">
        <v>129</v>
      </c>
      <c r="J2" s="124" t="s">
        <v>130</v>
      </c>
    </row>
    <row r="3" spans="1:10" ht="18">
      <c r="A3" s="119" t="s">
        <v>131</v>
      </c>
      <c r="B3" s="123"/>
      <c r="C3" s="120"/>
      <c r="D3" s="120"/>
      <c r="E3" s="121"/>
      <c r="F3" s="121"/>
      <c r="H3" s="121" t="s">
        <v>132</v>
      </c>
      <c r="I3" s="60" t="s">
        <v>133</v>
      </c>
      <c r="J3" s="124" t="s">
        <v>134</v>
      </c>
    </row>
    <row r="4" spans="1:10" ht="18">
      <c r="A4" s="122"/>
      <c r="B4" s="123"/>
      <c r="C4" s="120"/>
      <c r="D4" s="120"/>
      <c r="E4" s="121"/>
      <c r="F4" s="121"/>
      <c r="H4" s="121" t="s">
        <v>135</v>
      </c>
      <c r="J4" s="124" t="s">
        <v>136</v>
      </c>
    </row>
    <row r="5" spans="1:10" ht="18">
      <c r="A5" s="122"/>
      <c r="B5" s="125" t="s">
        <v>198</v>
      </c>
      <c r="C5" s="126" t="s">
        <v>640</v>
      </c>
      <c r="D5" s="120"/>
      <c r="E5" s="121"/>
      <c r="F5" s="121"/>
      <c r="G5" s="121"/>
    </row>
    <row r="6" spans="1:10" ht="30" customHeight="1">
      <c r="A6" s="122"/>
      <c r="B6" s="125" t="s">
        <v>199</v>
      </c>
      <c r="C6" s="126"/>
      <c r="D6" s="120"/>
      <c r="E6" s="121"/>
      <c r="F6" s="121"/>
      <c r="G6" s="121"/>
    </row>
    <row r="7" spans="1:10" ht="18">
      <c r="A7" s="122"/>
      <c r="B7" s="123"/>
      <c r="C7" s="120"/>
      <c r="D7" s="120"/>
      <c r="E7" s="121"/>
      <c r="F7" s="121"/>
      <c r="G7" s="121"/>
    </row>
    <row r="8" spans="1:10" ht="18">
      <c r="A8" s="119" t="s">
        <v>137</v>
      </c>
      <c r="B8" s="123"/>
      <c r="C8" s="120"/>
      <c r="D8" s="120"/>
      <c r="E8" s="121"/>
      <c r="F8" s="121"/>
      <c r="G8" s="121"/>
    </row>
    <row r="9" spans="1:10" ht="18">
      <c r="A9" s="119"/>
      <c r="B9" s="123"/>
      <c r="C9" s="120"/>
      <c r="D9" s="120"/>
      <c r="E9" s="121"/>
      <c r="F9" s="121"/>
      <c r="G9" s="121"/>
    </row>
    <row r="10" spans="1:10" ht="39.6">
      <c r="A10" s="119"/>
      <c r="B10" s="125" t="s">
        <v>200</v>
      </c>
      <c r="C10" s="475" t="s">
        <v>731</v>
      </c>
      <c r="G10" s="121"/>
    </row>
    <row r="11" spans="1:10" ht="18">
      <c r="A11" s="119"/>
      <c r="B11" s="125" t="s">
        <v>201</v>
      </c>
      <c r="C11" s="126"/>
      <c r="G11" s="121"/>
    </row>
    <row r="12" spans="1:10" ht="79.2">
      <c r="A12" s="119"/>
      <c r="B12" s="127">
        <v>7</v>
      </c>
      <c r="C12" s="475" t="s">
        <v>734</v>
      </c>
      <c r="D12" s="120"/>
      <c r="E12" s="121"/>
      <c r="F12" s="121"/>
      <c r="G12" s="121"/>
    </row>
    <row r="13" spans="1:10" ht="18">
      <c r="A13" s="119"/>
      <c r="B13" s="125" t="s">
        <v>138</v>
      </c>
      <c r="C13" s="126">
        <v>2027</v>
      </c>
      <c r="D13" s="120"/>
      <c r="E13" s="121"/>
      <c r="F13" s="121"/>
      <c r="G13" s="121"/>
    </row>
    <row r="14" spans="1:10" ht="18">
      <c r="A14" s="119"/>
      <c r="B14" s="125" t="s">
        <v>202</v>
      </c>
      <c r="C14" s="126">
        <v>2027</v>
      </c>
      <c r="D14" s="120"/>
      <c r="E14" s="121"/>
      <c r="F14" s="121"/>
      <c r="G14" s="121"/>
    </row>
    <row r="15" spans="1:10" ht="18">
      <c r="A15" s="119"/>
      <c r="B15" s="123"/>
      <c r="C15" s="115"/>
      <c r="D15" s="120"/>
      <c r="E15" s="121"/>
      <c r="F15" s="121"/>
      <c r="G15" s="121"/>
    </row>
    <row r="16" spans="1:10" ht="18">
      <c r="A16" s="119" t="s">
        <v>139</v>
      </c>
      <c r="B16" s="123"/>
      <c r="C16" s="115"/>
      <c r="D16" s="120"/>
      <c r="E16" s="121"/>
      <c r="F16" s="121"/>
      <c r="G16" s="121"/>
    </row>
    <row r="17" spans="1:10" ht="18">
      <c r="B17" s="125" t="s">
        <v>203</v>
      </c>
      <c r="C17" s="126" t="s">
        <v>1110</v>
      </c>
      <c r="D17" s="120"/>
      <c r="E17" s="121"/>
      <c r="F17" s="121"/>
      <c r="G17" s="121"/>
    </row>
    <row r="18" spans="1:10" ht="118.8" customHeight="1">
      <c r="A18" s="119"/>
      <c r="B18" s="125" t="s">
        <v>204</v>
      </c>
      <c r="C18" s="475" t="s">
        <v>1126</v>
      </c>
      <c r="D18" s="120"/>
      <c r="E18" s="121"/>
      <c r="F18" s="121"/>
      <c r="G18" s="121"/>
    </row>
    <row r="19" spans="1:10" ht="18">
      <c r="A19" s="119"/>
      <c r="B19" s="120"/>
      <c r="C19" s="120"/>
      <c r="D19" s="120"/>
      <c r="E19" s="121"/>
      <c r="F19" s="121"/>
      <c r="G19" s="121"/>
    </row>
    <row r="20" spans="1:10" ht="26.25" customHeight="1">
      <c r="A20" s="119"/>
      <c r="B20" s="125" t="s">
        <v>226</v>
      </c>
      <c r="C20" s="129" t="s">
        <v>128</v>
      </c>
      <c r="F20" s="121"/>
      <c r="G20" s="121"/>
    </row>
    <row r="21" spans="1:10" ht="18">
      <c r="A21" s="119"/>
      <c r="B21" s="60"/>
      <c r="C21" s="130" t="s">
        <v>128</v>
      </c>
      <c r="F21" s="121"/>
      <c r="G21" s="121"/>
    </row>
    <row r="22" spans="1:10" ht="18">
      <c r="A22" s="119"/>
      <c r="B22" s="123"/>
      <c r="C22" s="115"/>
      <c r="D22" s="120"/>
      <c r="E22" s="121"/>
      <c r="F22" s="121"/>
      <c r="G22" s="121"/>
    </row>
    <row r="23" spans="1:10" ht="18">
      <c r="A23" s="119"/>
      <c r="B23" s="123"/>
      <c r="C23" s="115"/>
      <c r="D23" s="120"/>
      <c r="E23" s="121"/>
      <c r="F23" s="121"/>
      <c r="G23" s="121"/>
    </row>
    <row r="24" spans="1:10" customFormat="1" ht="15.75" customHeight="1">
      <c r="A24" s="119" t="s">
        <v>140</v>
      </c>
      <c r="C24" s="118"/>
      <c r="D24" s="118"/>
      <c r="E24" s="118"/>
      <c r="F24" s="118"/>
      <c r="G24" s="118"/>
      <c r="H24" s="118"/>
      <c r="I24" s="118"/>
      <c r="J24" s="118"/>
    </row>
    <row r="25" spans="1:10" customFormat="1" ht="18">
      <c r="B25" s="118"/>
      <c r="C25" s="118"/>
      <c r="D25" s="118"/>
      <c r="E25" s="118"/>
      <c r="F25" s="118"/>
      <c r="G25" s="118"/>
      <c r="H25" s="118"/>
      <c r="I25" s="118"/>
      <c r="J25" s="118"/>
    </row>
    <row r="26" spans="1:10" customFormat="1" ht="40.200000000000003">
      <c r="B26" s="131" t="s">
        <v>227</v>
      </c>
      <c r="C26" s="131" t="s">
        <v>228</v>
      </c>
      <c r="D26" s="131" t="s">
        <v>229</v>
      </c>
      <c r="E26" s="131" t="s">
        <v>230</v>
      </c>
      <c r="F26" s="118"/>
      <c r="G26" s="118"/>
      <c r="H26" s="118"/>
      <c r="I26" s="118"/>
      <c r="J26" s="118"/>
    </row>
    <row r="27" spans="1:10" customFormat="1" ht="130.19999999999999">
      <c r="B27" s="132"/>
      <c r="C27" s="501" t="s">
        <v>737</v>
      </c>
      <c r="D27" s="132"/>
      <c r="E27" s="749" t="s">
        <v>1111</v>
      </c>
      <c r="F27" s="71"/>
      <c r="G27" s="118"/>
      <c r="H27" s="118"/>
      <c r="I27" s="118"/>
      <c r="J27" s="71"/>
    </row>
    <row r="28" spans="1:10" ht="18">
      <c r="A28" s="119"/>
      <c r="B28" s="123"/>
      <c r="C28" s="115"/>
      <c r="D28" s="120"/>
      <c r="E28" s="121"/>
      <c r="F28" s="121"/>
      <c r="G28" s="121"/>
    </row>
    <row r="29" spans="1:10" s="133" customFormat="1" ht="20.25" customHeight="1">
      <c r="A29" s="119" t="s">
        <v>141</v>
      </c>
    </row>
    <row r="30" spans="1:10" s="133" customFormat="1" ht="15" customHeight="1"/>
    <row r="31" spans="1:10" s="133" customFormat="1" ht="15" customHeight="1">
      <c r="B31" s="125" t="s">
        <v>231</v>
      </c>
      <c r="C31" s="132" t="s">
        <v>1112</v>
      </c>
    </row>
    <row r="32" spans="1:10" s="133" customFormat="1" ht="17.25" customHeight="1"/>
    <row r="33" spans="1:5" s="133" customFormat="1" ht="15" customHeight="1">
      <c r="B33" s="788" t="s">
        <v>232</v>
      </c>
    </row>
    <row r="34" spans="1:5" s="133" customFormat="1" ht="15" customHeight="1">
      <c r="B34" s="788"/>
    </row>
    <row r="35" spans="1:5" s="133" customFormat="1" ht="15" customHeight="1">
      <c r="B35" s="788"/>
      <c r="C35" s="134"/>
    </row>
    <row r="36" spans="1:5" s="133" customFormat="1" ht="15" customHeight="1"/>
    <row r="37" spans="1:5" s="133" customFormat="1" ht="13.5" customHeight="1">
      <c r="B37" s="789" t="s">
        <v>233</v>
      </c>
    </row>
    <row r="38" spans="1:5" s="133" customFormat="1">
      <c r="B38" s="790"/>
    </row>
    <row r="39" spans="1:5" s="133" customFormat="1">
      <c r="B39" s="791"/>
    </row>
    <row r="40" spans="1:5" s="133" customFormat="1"/>
    <row r="41" spans="1:5" s="133" customFormat="1"/>
    <row r="42" spans="1:5" s="133" customFormat="1" ht="16.2">
      <c r="A42" s="119" t="s">
        <v>234</v>
      </c>
    </row>
    <row r="43" spans="1:5" s="133" customFormat="1"/>
    <row r="44" spans="1:5" s="133" customFormat="1" ht="28.2" customHeight="1">
      <c r="B44" s="792" t="s">
        <v>1113</v>
      </c>
      <c r="C44" s="793"/>
      <c r="D44" s="793"/>
      <c r="E44" s="794"/>
    </row>
    <row r="45" spans="1:5" s="133" customFormat="1" ht="15" customHeight="1"/>
    <row r="46" spans="1:5" s="133" customFormat="1" ht="15" customHeight="1">
      <c r="A46" s="119" t="s">
        <v>235</v>
      </c>
    </row>
    <row r="47" spans="1:5" s="133" customFormat="1" ht="15" customHeight="1"/>
    <row r="48" spans="1:5" s="133" customFormat="1" ht="31.95" customHeight="1">
      <c r="B48" s="792" t="s">
        <v>735</v>
      </c>
      <c r="C48" s="793"/>
      <c r="D48" s="793"/>
      <c r="E48" s="794"/>
    </row>
    <row r="49" spans="1:7" s="133" customFormat="1" ht="15" customHeight="1"/>
    <row r="50" spans="1:7" s="133" customFormat="1" ht="15" customHeight="1">
      <c r="A50" s="119" t="s">
        <v>236</v>
      </c>
    </row>
    <row r="51" spans="1:7" s="133" customFormat="1" ht="15" customHeight="1"/>
    <row r="52" spans="1:7" s="133" customFormat="1">
      <c r="B52" s="792"/>
      <c r="C52" s="793"/>
      <c r="D52" s="793"/>
      <c r="E52" s="794"/>
    </row>
    <row r="53" spans="1:7" s="133" customFormat="1"/>
    <row r="54" spans="1:7" s="133" customFormat="1">
      <c r="A54" s="119" t="s">
        <v>142</v>
      </c>
    </row>
    <row r="55" spans="1:7" s="133" customFormat="1"/>
    <row r="56" spans="1:7" s="133" customFormat="1" ht="15" customHeight="1">
      <c r="B56" s="786" t="s">
        <v>237</v>
      </c>
      <c r="C56" s="786" t="s">
        <v>143</v>
      </c>
      <c r="D56" s="786" t="s">
        <v>54</v>
      </c>
      <c r="E56" s="786" t="s">
        <v>72</v>
      </c>
      <c r="F56" s="786" t="s">
        <v>97</v>
      </c>
      <c r="G56" s="742" t="s">
        <v>238</v>
      </c>
    </row>
    <row r="57" spans="1:7" s="133" customFormat="1">
      <c r="B57" s="787"/>
      <c r="C57" s="787"/>
      <c r="D57" s="787"/>
      <c r="E57" s="787"/>
      <c r="F57" s="787"/>
      <c r="G57" s="742">
        <f>C14</f>
        <v>2027</v>
      </c>
    </row>
    <row r="58" spans="1:7">
      <c r="B58" s="135"/>
      <c r="C58" s="136"/>
      <c r="D58" s="136"/>
      <c r="E58" s="136"/>
      <c r="F58" s="744"/>
      <c r="G58" s="138"/>
    </row>
    <row r="59" spans="1:7">
      <c r="B59" s="135"/>
      <c r="C59" s="136"/>
      <c r="D59" s="136"/>
      <c r="E59" s="136"/>
      <c r="F59" s="744"/>
      <c r="G59" s="138"/>
    </row>
    <row r="60" spans="1:7">
      <c r="B60" s="133"/>
    </row>
    <row r="61" spans="1:7">
      <c r="A61" s="119" t="s">
        <v>144</v>
      </c>
      <c r="B61" s="133"/>
    </row>
    <row r="62" spans="1:7">
      <c r="B62" s="133"/>
    </row>
    <row r="63" spans="1:7" ht="15" customHeight="1">
      <c r="B63" s="786" t="s">
        <v>239</v>
      </c>
      <c r="C63" s="786" t="s">
        <v>145</v>
      </c>
      <c r="D63" s="786" t="s">
        <v>54</v>
      </c>
      <c r="E63" s="786" t="s">
        <v>72</v>
      </c>
      <c r="F63" s="786" t="s">
        <v>97</v>
      </c>
      <c r="G63" s="742" t="s">
        <v>146</v>
      </c>
    </row>
    <row r="64" spans="1:7" ht="14.4">
      <c r="B64" s="787"/>
      <c r="C64" s="787"/>
      <c r="D64" s="787"/>
      <c r="E64" s="787"/>
      <c r="F64" s="787"/>
      <c r="G64" s="742">
        <f>C14</f>
        <v>2027</v>
      </c>
    </row>
    <row r="65" spans="1:7">
      <c r="B65" s="136"/>
      <c r="C65" s="742" t="s">
        <v>10</v>
      </c>
      <c r="D65" s="139" t="s">
        <v>733</v>
      </c>
      <c r="E65" s="139"/>
      <c r="F65" s="140"/>
      <c r="G65" s="746"/>
    </row>
    <row r="66" spans="1:7">
      <c r="B66" s="136"/>
      <c r="C66" s="742" t="s">
        <v>10</v>
      </c>
      <c r="D66" s="139"/>
      <c r="E66" s="139"/>
      <c r="F66" s="141"/>
      <c r="G66" s="746"/>
    </row>
    <row r="67" spans="1:7" ht="14.4">
      <c r="B67" s="745" t="s">
        <v>9</v>
      </c>
      <c r="C67" s="745" t="s">
        <v>10</v>
      </c>
      <c r="D67" s="745">
        <f>SUM(D65:D66)</f>
        <v>0</v>
      </c>
      <c r="E67" s="745">
        <f>SUM(E65:E66)</f>
        <v>0</v>
      </c>
      <c r="F67" s="745">
        <f>SUM(F65:F66)</f>
        <v>0</v>
      </c>
      <c r="G67" s="745">
        <f>SUM(G65:G66)</f>
        <v>0</v>
      </c>
    </row>
    <row r="68" spans="1:7" ht="14.4">
      <c r="B68" s="60"/>
    </row>
    <row r="69" spans="1:7">
      <c r="A69" s="119" t="s">
        <v>147</v>
      </c>
      <c r="B69" s="60"/>
    </row>
    <row r="70" spans="1:7" ht="14.4">
      <c r="B70" s="60"/>
    </row>
    <row r="71" spans="1:7" ht="15" customHeight="1">
      <c r="B71" s="786" t="s">
        <v>240</v>
      </c>
      <c r="C71" s="786" t="s">
        <v>145</v>
      </c>
      <c r="D71" s="786" t="s">
        <v>54</v>
      </c>
      <c r="E71" s="786" t="s">
        <v>72</v>
      </c>
      <c r="F71" s="786" t="s">
        <v>97</v>
      </c>
      <c r="G71" s="742" t="s">
        <v>146</v>
      </c>
    </row>
    <row r="72" spans="1:7" ht="14.4">
      <c r="B72" s="787"/>
      <c r="C72" s="787"/>
      <c r="D72" s="787"/>
      <c r="E72" s="787"/>
      <c r="F72" s="787"/>
      <c r="G72" s="742">
        <f>C14</f>
        <v>2027</v>
      </c>
    </row>
    <row r="73" spans="1:7">
      <c r="B73" s="743" t="s">
        <v>148</v>
      </c>
      <c r="C73" s="143" t="s">
        <v>10</v>
      </c>
      <c r="D73" s="745">
        <f>D67</f>
        <v>0</v>
      </c>
      <c r="E73" s="745">
        <f>E67</f>
        <v>0</v>
      </c>
      <c r="F73" s="745">
        <f>F67</f>
        <v>0</v>
      </c>
      <c r="G73" s="745">
        <f>G67</f>
        <v>0</v>
      </c>
    </row>
    <row r="74" spans="1:7">
      <c r="B74" s="144" t="s">
        <v>149</v>
      </c>
      <c r="C74" s="143" t="s">
        <v>10</v>
      </c>
      <c r="D74" s="139"/>
      <c r="E74" s="139"/>
      <c r="F74" s="140"/>
      <c r="G74" s="138"/>
    </row>
    <row r="75" spans="1:7" ht="15" customHeight="1">
      <c r="B75" s="145" t="s">
        <v>150</v>
      </c>
      <c r="C75" s="143" t="s">
        <v>10</v>
      </c>
      <c r="D75" s="139"/>
      <c r="E75" s="139"/>
      <c r="F75" s="140"/>
      <c r="G75" s="138"/>
    </row>
    <row r="76" spans="1:7">
      <c r="B76" s="144" t="s">
        <v>151</v>
      </c>
      <c r="C76" s="143" t="s">
        <v>10</v>
      </c>
      <c r="D76" s="745">
        <f>SUM(D77:D78)</f>
        <v>0</v>
      </c>
      <c r="E76" s="745">
        <f>SUM(E77:E78)</f>
        <v>0</v>
      </c>
      <c r="F76" s="745">
        <f>SUM(F77:F78)</f>
        <v>0</v>
      </c>
      <c r="G76" s="745">
        <f>SUM(G77:G78)</f>
        <v>0</v>
      </c>
    </row>
    <row r="77" spans="1:7">
      <c r="B77" s="136"/>
      <c r="C77" s="143" t="s">
        <v>10</v>
      </c>
      <c r="D77" s="139"/>
      <c r="E77" s="139"/>
      <c r="F77" s="140"/>
      <c r="G77" s="138"/>
    </row>
    <row r="78" spans="1:7">
      <c r="B78" s="136"/>
      <c r="C78" s="143" t="s">
        <v>10</v>
      </c>
      <c r="D78" s="139"/>
      <c r="E78" s="139"/>
      <c r="F78" s="140"/>
      <c r="G78" s="138"/>
    </row>
    <row r="79" spans="1:7" ht="15.75" customHeight="1">
      <c r="B79" s="743" t="s">
        <v>152</v>
      </c>
      <c r="C79" s="143" t="s">
        <v>10</v>
      </c>
      <c r="D79" s="745">
        <f>D73-D76-D75</f>
        <v>0</v>
      </c>
      <c r="E79" s="745">
        <f>E73-E76-E75</f>
        <v>0</v>
      </c>
      <c r="F79" s="745">
        <f>F73-F76-F75</f>
        <v>0</v>
      </c>
      <c r="G79" s="745">
        <f>G73-G76-G75</f>
        <v>0</v>
      </c>
    </row>
    <row r="80" spans="1:7" ht="14.4">
      <c r="B80" s="60"/>
    </row>
    <row r="81" spans="1:5" ht="19.5" customHeight="1">
      <c r="A81" s="119" t="s">
        <v>185</v>
      </c>
      <c r="B81" s="60"/>
    </row>
    <row r="82" spans="1:5" ht="21" customHeight="1">
      <c r="B82" s="60"/>
    </row>
    <row r="83" spans="1:5" ht="16.2">
      <c r="B83" s="743" t="s">
        <v>241</v>
      </c>
      <c r="C83" s="783"/>
      <c r="D83" s="784"/>
      <c r="E83" s="785"/>
    </row>
    <row r="84" spans="1:5" ht="14.4">
      <c r="B84" s="60"/>
    </row>
    <row r="85" spans="1:5" ht="16.2">
      <c r="A85" s="119" t="s">
        <v>242</v>
      </c>
      <c r="B85" s="154"/>
    </row>
    <row r="86" spans="1:5" ht="14.4">
      <c r="B86" s="60"/>
    </row>
    <row r="87" spans="1:5" ht="14.4">
      <c r="B87" s="743" t="s">
        <v>186</v>
      </c>
      <c r="C87" s="783"/>
      <c r="D87" s="784"/>
      <c r="E87" s="785"/>
    </row>
    <row r="88" spans="1:5" ht="14.4">
      <c r="B88" s="743" t="s">
        <v>187</v>
      </c>
      <c r="C88" s="783"/>
      <c r="D88" s="784"/>
      <c r="E88" s="785"/>
    </row>
    <row r="89" spans="1:5" ht="24.75" customHeight="1">
      <c r="A89" s="119" t="s">
        <v>243</v>
      </c>
      <c r="B89" s="60"/>
    </row>
    <row r="90" spans="1:5" ht="14.4">
      <c r="B90" s="60"/>
    </row>
    <row r="91" spans="1:5" ht="14.4">
      <c r="B91" s="783"/>
      <c r="C91" s="784"/>
      <c r="D91" s="784"/>
      <c r="E91" s="785"/>
    </row>
    <row r="93" spans="1:5">
      <c r="A93" s="119" t="s">
        <v>188</v>
      </c>
    </row>
    <row r="95" spans="1:5" ht="14.4">
      <c r="B95" s="783"/>
      <c r="C95" s="784"/>
      <c r="D95" s="784"/>
      <c r="E95" s="785"/>
    </row>
    <row r="98" spans="2:2" ht="15.6">
      <c r="B98" s="384" t="s">
        <v>190</v>
      </c>
    </row>
  </sheetData>
  <mergeCells count="25">
    <mergeCell ref="B33:B35"/>
    <mergeCell ref="B37:B39"/>
    <mergeCell ref="B44:E44"/>
    <mergeCell ref="B48:E48"/>
    <mergeCell ref="B52:E52"/>
    <mergeCell ref="F71:F72"/>
    <mergeCell ref="C83:E83"/>
    <mergeCell ref="F56:F57"/>
    <mergeCell ref="B63:B64"/>
    <mergeCell ref="C63:C64"/>
    <mergeCell ref="D63:D64"/>
    <mergeCell ref="E63:E64"/>
    <mergeCell ref="F63:F64"/>
    <mergeCell ref="B56:B57"/>
    <mergeCell ref="C56:C57"/>
    <mergeCell ref="D56:D57"/>
    <mergeCell ref="E56:E57"/>
    <mergeCell ref="C87:E87"/>
    <mergeCell ref="C88:E88"/>
    <mergeCell ref="B91:E91"/>
    <mergeCell ref="B95:E95"/>
    <mergeCell ref="B71:B72"/>
    <mergeCell ref="C71:C72"/>
    <mergeCell ref="D71:D72"/>
    <mergeCell ref="E71:E72"/>
  </mergeCells>
  <dataValidations count="2">
    <dataValidation type="list" allowBlank="1" showInputMessage="1" showErrorMessage="1" sqref="C20:C21">
      <formula1>$H$2:$H$4</formula1>
    </dataValidation>
    <dataValidation type="list" allowBlank="1" showInputMessage="1" showErrorMessage="1" sqref="B27">
      <formula1>$J$2:$J$4</formula1>
    </dataValidation>
  </dataValidations>
  <hyperlinks>
    <hyperlink ref="C26" location="_ftn1" display="_ftn1"/>
    <hyperlink ref="D26" location="_ftn2" display="_ftn2"/>
    <hyperlink ref="E26" location="_ftn3" display="_ftn3"/>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3665" r:id="rId4" name="Check Box 1">
              <controlPr defaultSize="0" autoFill="0" autoLine="0" autoPict="0">
                <anchor moveWithCells="1">
                  <from>
                    <xdr:col>2</xdr:col>
                    <xdr:colOff>99060</xdr:colOff>
                    <xdr:row>32</xdr:row>
                    <xdr:rowOff>0</xdr:rowOff>
                  </from>
                  <to>
                    <xdr:col>2</xdr:col>
                    <xdr:colOff>3108960</xdr:colOff>
                    <xdr:row>33</xdr:row>
                    <xdr:rowOff>7620</xdr:rowOff>
                  </to>
                </anchor>
              </controlPr>
            </control>
          </mc:Choice>
        </mc:AlternateContent>
        <mc:AlternateContent xmlns:mc="http://schemas.openxmlformats.org/markup-compatibility/2006">
          <mc:Choice Requires="x14">
            <control shapeId="113666" r:id="rId5" name="Check Box 2">
              <controlPr defaultSize="0" autoFill="0" autoLine="0" autoPict="0">
                <anchor moveWithCells="1">
                  <from>
                    <xdr:col>2</xdr:col>
                    <xdr:colOff>99060</xdr:colOff>
                    <xdr:row>34</xdr:row>
                    <xdr:rowOff>0</xdr:rowOff>
                  </from>
                  <to>
                    <xdr:col>3</xdr:col>
                    <xdr:colOff>1021080</xdr:colOff>
                    <xdr:row>34</xdr:row>
                    <xdr:rowOff>160020</xdr:rowOff>
                  </to>
                </anchor>
              </controlPr>
            </control>
          </mc:Choice>
        </mc:AlternateContent>
        <mc:AlternateContent xmlns:mc="http://schemas.openxmlformats.org/markup-compatibility/2006">
          <mc:Choice Requires="x14">
            <control shapeId="113667" r:id="rId6" name="Check Box 3">
              <controlPr defaultSize="0" autoFill="0" autoLine="0" autoPict="0">
                <anchor moveWithCells="1">
                  <from>
                    <xdr:col>2</xdr:col>
                    <xdr:colOff>99060</xdr:colOff>
                    <xdr:row>32</xdr:row>
                    <xdr:rowOff>182880</xdr:rowOff>
                  </from>
                  <to>
                    <xdr:col>3</xdr:col>
                    <xdr:colOff>1981200</xdr:colOff>
                    <xdr:row>33</xdr:row>
                    <xdr:rowOff>182880</xdr:rowOff>
                  </to>
                </anchor>
              </controlPr>
            </control>
          </mc:Choice>
        </mc:AlternateContent>
        <mc:AlternateContent xmlns:mc="http://schemas.openxmlformats.org/markup-compatibility/2006">
          <mc:Choice Requires="x14">
            <control shapeId="113668" r:id="rId7" name="Check Box 4">
              <controlPr defaultSize="0" autoFill="0" autoLine="0" autoPict="0">
                <anchor moveWithCells="1">
                  <from>
                    <xdr:col>2</xdr:col>
                    <xdr:colOff>38100</xdr:colOff>
                    <xdr:row>36</xdr:row>
                    <xdr:rowOff>30480</xdr:rowOff>
                  </from>
                  <to>
                    <xdr:col>10</xdr:col>
                    <xdr:colOff>22860</xdr:colOff>
                    <xdr:row>36</xdr:row>
                    <xdr:rowOff>160020</xdr:rowOff>
                  </to>
                </anchor>
              </controlPr>
            </control>
          </mc:Choice>
        </mc:AlternateContent>
        <mc:AlternateContent xmlns:mc="http://schemas.openxmlformats.org/markup-compatibility/2006">
          <mc:Choice Requires="x14">
            <control shapeId="113669" r:id="rId8" name="Check Box 5">
              <controlPr defaultSize="0" autoFill="0" autoLine="0" autoPict="0">
                <anchor moveWithCells="1">
                  <from>
                    <xdr:col>2</xdr:col>
                    <xdr:colOff>45720</xdr:colOff>
                    <xdr:row>37</xdr:row>
                    <xdr:rowOff>30480</xdr:rowOff>
                  </from>
                  <to>
                    <xdr:col>10</xdr:col>
                    <xdr:colOff>403860</xdr:colOff>
                    <xdr:row>38</xdr:row>
                    <xdr:rowOff>0</xdr:rowOff>
                  </to>
                </anchor>
              </controlPr>
            </control>
          </mc:Choice>
        </mc:AlternateContent>
        <mc:AlternateContent xmlns:mc="http://schemas.openxmlformats.org/markup-compatibility/2006">
          <mc:Choice Requires="x14">
            <control shapeId="113670" r:id="rId9" name="Check Box 6">
              <controlPr defaultSize="0" autoFill="0" autoLine="0" autoPict="0">
                <anchor moveWithCells="1">
                  <from>
                    <xdr:col>2</xdr:col>
                    <xdr:colOff>45720</xdr:colOff>
                    <xdr:row>38</xdr:row>
                    <xdr:rowOff>7620</xdr:rowOff>
                  </from>
                  <to>
                    <xdr:col>6</xdr:col>
                    <xdr:colOff>1013460</xdr:colOff>
                    <xdr:row>39</xdr:row>
                    <xdr:rowOff>0</xdr:rowOff>
                  </to>
                </anchor>
              </controlPr>
            </control>
          </mc:Choice>
        </mc:AlternateContent>
        <mc:AlternateContent xmlns:mc="http://schemas.openxmlformats.org/markup-compatibility/2006">
          <mc:Choice Requires="x14">
            <control shapeId="113671" r:id="rId10" name="Check Box 7">
              <controlPr defaultSize="0" autoFill="0" autoLine="0" autoPict="0">
                <anchor moveWithCells="1">
                  <from>
                    <xdr:col>1</xdr:col>
                    <xdr:colOff>0</xdr:colOff>
                    <xdr:row>11</xdr:row>
                    <xdr:rowOff>0</xdr:rowOff>
                  </from>
                  <to>
                    <xdr:col>1</xdr:col>
                    <xdr:colOff>2933700</xdr:colOff>
                    <xdr:row>11</xdr:row>
                    <xdr:rowOff>251460</xdr:rowOff>
                  </to>
                </anchor>
              </controlPr>
            </control>
          </mc:Choice>
        </mc:AlternateContent>
        <mc:AlternateContent xmlns:mc="http://schemas.openxmlformats.org/markup-compatibility/2006">
          <mc:Choice Requires="x14">
            <control shapeId="113672" r:id="rId11" name="Check Box 8">
              <controlPr defaultSize="0" autoFill="0" autoLine="0" autoPict="0">
                <anchor moveWithCells="1">
                  <from>
                    <xdr:col>2</xdr:col>
                    <xdr:colOff>99060</xdr:colOff>
                    <xdr:row>32</xdr:row>
                    <xdr:rowOff>0</xdr:rowOff>
                  </from>
                  <to>
                    <xdr:col>2</xdr:col>
                    <xdr:colOff>3108960</xdr:colOff>
                    <xdr:row>33</xdr:row>
                    <xdr:rowOff>7620</xdr:rowOff>
                  </to>
                </anchor>
              </controlPr>
            </control>
          </mc:Choice>
        </mc:AlternateContent>
        <mc:AlternateContent xmlns:mc="http://schemas.openxmlformats.org/markup-compatibility/2006">
          <mc:Choice Requires="x14">
            <control shapeId="113673" r:id="rId12" name="Check Box 9">
              <controlPr defaultSize="0" autoFill="0" autoLine="0" autoPict="0">
                <anchor moveWithCells="1">
                  <from>
                    <xdr:col>2</xdr:col>
                    <xdr:colOff>99060</xdr:colOff>
                    <xdr:row>34</xdr:row>
                    <xdr:rowOff>0</xdr:rowOff>
                  </from>
                  <to>
                    <xdr:col>3</xdr:col>
                    <xdr:colOff>1021080</xdr:colOff>
                    <xdr:row>34</xdr:row>
                    <xdr:rowOff>160020</xdr:rowOff>
                  </to>
                </anchor>
              </controlPr>
            </control>
          </mc:Choice>
        </mc:AlternateContent>
        <mc:AlternateContent xmlns:mc="http://schemas.openxmlformats.org/markup-compatibility/2006">
          <mc:Choice Requires="x14">
            <control shapeId="113674" r:id="rId13" name="Check Box 10">
              <controlPr defaultSize="0" autoFill="0" autoLine="0" autoPict="0">
                <anchor moveWithCells="1">
                  <from>
                    <xdr:col>2</xdr:col>
                    <xdr:colOff>99060</xdr:colOff>
                    <xdr:row>32</xdr:row>
                    <xdr:rowOff>182880</xdr:rowOff>
                  </from>
                  <to>
                    <xdr:col>3</xdr:col>
                    <xdr:colOff>1981200</xdr:colOff>
                    <xdr:row>33</xdr:row>
                    <xdr:rowOff>182880</xdr:rowOff>
                  </to>
                </anchor>
              </controlPr>
            </control>
          </mc:Choice>
        </mc:AlternateContent>
        <mc:AlternateContent xmlns:mc="http://schemas.openxmlformats.org/markup-compatibility/2006">
          <mc:Choice Requires="x14">
            <control shapeId="113675" r:id="rId14" name="Check Box 11">
              <controlPr defaultSize="0" autoFill="0" autoLine="0" autoPict="0">
                <anchor moveWithCells="1">
                  <from>
                    <xdr:col>2</xdr:col>
                    <xdr:colOff>45720</xdr:colOff>
                    <xdr:row>38</xdr:row>
                    <xdr:rowOff>7620</xdr:rowOff>
                  </from>
                  <to>
                    <xdr:col>6</xdr:col>
                    <xdr:colOff>1013460</xdr:colOff>
                    <xdr:row>39</xdr:row>
                    <xdr:rowOff>0</xdr:rowOff>
                  </to>
                </anchor>
              </controlPr>
            </control>
          </mc:Choice>
        </mc:AlternateContent>
        <mc:AlternateContent xmlns:mc="http://schemas.openxmlformats.org/markup-compatibility/2006">
          <mc:Choice Requires="x14">
            <control shapeId="113676" r:id="rId15" name="Check Box 12">
              <controlPr defaultSize="0" autoFill="0" autoLine="0" autoPict="0">
                <anchor moveWithCells="1">
                  <from>
                    <xdr:col>1</xdr:col>
                    <xdr:colOff>0</xdr:colOff>
                    <xdr:row>11</xdr:row>
                    <xdr:rowOff>0</xdr:rowOff>
                  </from>
                  <to>
                    <xdr:col>1</xdr:col>
                    <xdr:colOff>2933700</xdr:colOff>
                    <xdr:row>11</xdr:row>
                    <xdr:rowOff>251460</xdr:rowOff>
                  </to>
                </anchor>
              </controlPr>
            </control>
          </mc:Choice>
        </mc:AlternateContent>
        <mc:AlternateContent xmlns:mc="http://schemas.openxmlformats.org/markup-compatibility/2006">
          <mc:Choice Requires="x14">
            <control shapeId="113677" r:id="rId16" name="Check Box 13">
              <controlPr defaultSize="0" autoFill="0" autoLine="0" autoPict="0">
                <anchor moveWithCells="1">
                  <from>
                    <xdr:col>2</xdr:col>
                    <xdr:colOff>99060</xdr:colOff>
                    <xdr:row>32</xdr:row>
                    <xdr:rowOff>0</xdr:rowOff>
                  </from>
                  <to>
                    <xdr:col>2</xdr:col>
                    <xdr:colOff>3108960</xdr:colOff>
                    <xdr:row>33</xdr:row>
                    <xdr:rowOff>7620</xdr:rowOff>
                  </to>
                </anchor>
              </controlPr>
            </control>
          </mc:Choice>
        </mc:AlternateContent>
        <mc:AlternateContent xmlns:mc="http://schemas.openxmlformats.org/markup-compatibility/2006">
          <mc:Choice Requires="x14">
            <control shapeId="113678" r:id="rId17" name="Check Box 14">
              <controlPr defaultSize="0" autoFill="0" autoLine="0" autoPict="0">
                <anchor moveWithCells="1">
                  <from>
                    <xdr:col>2</xdr:col>
                    <xdr:colOff>99060</xdr:colOff>
                    <xdr:row>34</xdr:row>
                    <xdr:rowOff>0</xdr:rowOff>
                  </from>
                  <to>
                    <xdr:col>3</xdr:col>
                    <xdr:colOff>1021080</xdr:colOff>
                    <xdr:row>34</xdr:row>
                    <xdr:rowOff>160020</xdr:rowOff>
                  </to>
                </anchor>
              </controlPr>
            </control>
          </mc:Choice>
        </mc:AlternateContent>
        <mc:AlternateContent xmlns:mc="http://schemas.openxmlformats.org/markup-compatibility/2006">
          <mc:Choice Requires="x14">
            <control shapeId="113679" r:id="rId18" name="Check Box 15">
              <controlPr defaultSize="0" autoFill="0" autoLine="0" autoPict="0">
                <anchor moveWithCells="1">
                  <from>
                    <xdr:col>2</xdr:col>
                    <xdr:colOff>99060</xdr:colOff>
                    <xdr:row>32</xdr:row>
                    <xdr:rowOff>182880</xdr:rowOff>
                  </from>
                  <to>
                    <xdr:col>3</xdr:col>
                    <xdr:colOff>1981200</xdr:colOff>
                    <xdr:row>33</xdr:row>
                    <xdr:rowOff>182880</xdr:rowOff>
                  </to>
                </anchor>
              </controlPr>
            </control>
          </mc:Choice>
        </mc:AlternateContent>
        <mc:AlternateContent xmlns:mc="http://schemas.openxmlformats.org/markup-compatibility/2006">
          <mc:Choice Requires="x14">
            <control shapeId="113680" r:id="rId19" name="Check Box 16">
              <controlPr defaultSize="0" autoFill="0" autoLine="0" autoPict="0">
                <anchor moveWithCells="1">
                  <from>
                    <xdr:col>2</xdr:col>
                    <xdr:colOff>38100</xdr:colOff>
                    <xdr:row>36</xdr:row>
                    <xdr:rowOff>30480</xdr:rowOff>
                  </from>
                  <to>
                    <xdr:col>10</xdr:col>
                    <xdr:colOff>22860</xdr:colOff>
                    <xdr:row>36</xdr:row>
                    <xdr:rowOff>160020</xdr:rowOff>
                  </to>
                </anchor>
              </controlPr>
            </control>
          </mc:Choice>
        </mc:AlternateContent>
        <mc:AlternateContent xmlns:mc="http://schemas.openxmlformats.org/markup-compatibility/2006">
          <mc:Choice Requires="x14">
            <control shapeId="113681" r:id="rId20" name="Check Box 17">
              <controlPr defaultSize="0" autoFill="0" autoLine="0" autoPict="0">
                <anchor moveWithCells="1">
                  <from>
                    <xdr:col>2</xdr:col>
                    <xdr:colOff>45720</xdr:colOff>
                    <xdr:row>37</xdr:row>
                    <xdr:rowOff>30480</xdr:rowOff>
                  </from>
                  <to>
                    <xdr:col>10</xdr:col>
                    <xdr:colOff>403860</xdr:colOff>
                    <xdr:row>38</xdr:row>
                    <xdr:rowOff>0</xdr:rowOff>
                  </to>
                </anchor>
              </controlPr>
            </control>
          </mc:Choice>
        </mc:AlternateContent>
        <mc:AlternateContent xmlns:mc="http://schemas.openxmlformats.org/markup-compatibility/2006">
          <mc:Choice Requires="x14">
            <control shapeId="113682" r:id="rId21" name="Check Box 18">
              <controlPr defaultSize="0" autoFill="0" autoLine="0" autoPict="0">
                <anchor moveWithCells="1">
                  <from>
                    <xdr:col>2</xdr:col>
                    <xdr:colOff>45720</xdr:colOff>
                    <xdr:row>38</xdr:row>
                    <xdr:rowOff>7620</xdr:rowOff>
                  </from>
                  <to>
                    <xdr:col>6</xdr:col>
                    <xdr:colOff>1013460</xdr:colOff>
                    <xdr:row>39</xdr:row>
                    <xdr:rowOff>0</xdr:rowOff>
                  </to>
                </anchor>
              </controlPr>
            </control>
          </mc:Choice>
        </mc:AlternateContent>
        <mc:AlternateContent xmlns:mc="http://schemas.openxmlformats.org/markup-compatibility/2006">
          <mc:Choice Requires="x14">
            <control shapeId="113683" r:id="rId22" name="Check Box 19">
              <controlPr defaultSize="0" autoFill="0" autoLine="0" autoPict="0">
                <anchor moveWithCells="1">
                  <from>
                    <xdr:col>1</xdr:col>
                    <xdr:colOff>0</xdr:colOff>
                    <xdr:row>11</xdr:row>
                    <xdr:rowOff>0</xdr:rowOff>
                  </from>
                  <to>
                    <xdr:col>1</xdr:col>
                    <xdr:colOff>2933700</xdr:colOff>
                    <xdr:row>11</xdr:row>
                    <xdr:rowOff>251460</xdr:rowOff>
                  </to>
                </anchor>
              </controlPr>
            </control>
          </mc:Choice>
        </mc:AlternateContent>
        <mc:AlternateContent xmlns:mc="http://schemas.openxmlformats.org/markup-compatibility/2006">
          <mc:Choice Requires="x14">
            <control shapeId="113684" r:id="rId23" name="Check Box 20">
              <controlPr defaultSize="0" autoFill="0" autoLine="0" autoPict="0">
                <anchor moveWithCells="1">
                  <from>
                    <xdr:col>2</xdr:col>
                    <xdr:colOff>99060</xdr:colOff>
                    <xdr:row>32</xdr:row>
                    <xdr:rowOff>0</xdr:rowOff>
                  </from>
                  <to>
                    <xdr:col>2</xdr:col>
                    <xdr:colOff>3108960</xdr:colOff>
                    <xdr:row>33</xdr:row>
                    <xdr:rowOff>7620</xdr:rowOff>
                  </to>
                </anchor>
              </controlPr>
            </control>
          </mc:Choice>
        </mc:AlternateContent>
        <mc:AlternateContent xmlns:mc="http://schemas.openxmlformats.org/markup-compatibility/2006">
          <mc:Choice Requires="x14">
            <control shapeId="113685" r:id="rId24" name="Check Box 21">
              <controlPr defaultSize="0" autoFill="0" autoLine="0" autoPict="0">
                <anchor moveWithCells="1">
                  <from>
                    <xdr:col>2</xdr:col>
                    <xdr:colOff>99060</xdr:colOff>
                    <xdr:row>34</xdr:row>
                    <xdr:rowOff>0</xdr:rowOff>
                  </from>
                  <to>
                    <xdr:col>3</xdr:col>
                    <xdr:colOff>1021080</xdr:colOff>
                    <xdr:row>34</xdr:row>
                    <xdr:rowOff>160020</xdr:rowOff>
                  </to>
                </anchor>
              </controlPr>
            </control>
          </mc:Choice>
        </mc:AlternateContent>
        <mc:AlternateContent xmlns:mc="http://schemas.openxmlformats.org/markup-compatibility/2006">
          <mc:Choice Requires="x14">
            <control shapeId="113686" r:id="rId25" name="Check Box 22">
              <controlPr defaultSize="0" autoFill="0" autoLine="0" autoPict="0">
                <anchor moveWithCells="1">
                  <from>
                    <xdr:col>2</xdr:col>
                    <xdr:colOff>99060</xdr:colOff>
                    <xdr:row>32</xdr:row>
                    <xdr:rowOff>182880</xdr:rowOff>
                  </from>
                  <to>
                    <xdr:col>3</xdr:col>
                    <xdr:colOff>1981200</xdr:colOff>
                    <xdr:row>33</xdr:row>
                    <xdr:rowOff>182880</xdr:rowOff>
                  </to>
                </anchor>
              </controlPr>
            </control>
          </mc:Choice>
        </mc:AlternateContent>
        <mc:AlternateContent xmlns:mc="http://schemas.openxmlformats.org/markup-compatibility/2006">
          <mc:Choice Requires="x14">
            <control shapeId="113687" r:id="rId26" name="Check Box 23">
              <controlPr defaultSize="0" autoFill="0" autoLine="0" autoPict="0">
                <anchor moveWithCells="1">
                  <from>
                    <xdr:col>2</xdr:col>
                    <xdr:colOff>45720</xdr:colOff>
                    <xdr:row>38</xdr:row>
                    <xdr:rowOff>7620</xdr:rowOff>
                  </from>
                  <to>
                    <xdr:col>6</xdr:col>
                    <xdr:colOff>1013460</xdr:colOff>
                    <xdr:row>39</xdr:row>
                    <xdr:rowOff>0</xdr:rowOff>
                  </to>
                </anchor>
              </controlPr>
            </control>
          </mc:Choice>
        </mc:AlternateContent>
        <mc:AlternateContent xmlns:mc="http://schemas.openxmlformats.org/markup-compatibility/2006">
          <mc:Choice Requires="x14">
            <control shapeId="113688" r:id="rId27" name="Check Box 24">
              <controlPr defaultSize="0" autoFill="0" autoLine="0" autoPict="0">
                <anchor moveWithCells="1">
                  <from>
                    <xdr:col>1</xdr:col>
                    <xdr:colOff>0</xdr:colOff>
                    <xdr:row>11</xdr:row>
                    <xdr:rowOff>0</xdr:rowOff>
                  </from>
                  <to>
                    <xdr:col>1</xdr:col>
                    <xdr:colOff>2933700</xdr:colOff>
                    <xdr:row>11</xdr:row>
                    <xdr:rowOff>251460</xdr:rowOff>
                  </to>
                </anchor>
              </controlPr>
            </control>
          </mc:Choice>
        </mc:AlternateContent>
        <mc:AlternateContent xmlns:mc="http://schemas.openxmlformats.org/markup-compatibility/2006">
          <mc:Choice Requires="x14">
            <control shapeId="113689" r:id="rId28" name="Check Box 25">
              <controlPr defaultSize="0" autoFill="0" autoLine="0" autoPict="0">
                <anchor moveWithCells="1">
                  <from>
                    <xdr:col>2</xdr:col>
                    <xdr:colOff>99060</xdr:colOff>
                    <xdr:row>32</xdr:row>
                    <xdr:rowOff>0</xdr:rowOff>
                  </from>
                  <to>
                    <xdr:col>2</xdr:col>
                    <xdr:colOff>3108960</xdr:colOff>
                    <xdr:row>33</xdr:row>
                    <xdr:rowOff>7620</xdr:rowOff>
                  </to>
                </anchor>
              </controlPr>
            </control>
          </mc:Choice>
        </mc:AlternateContent>
        <mc:AlternateContent xmlns:mc="http://schemas.openxmlformats.org/markup-compatibility/2006">
          <mc:Choice Requires="x14">
            <control shapeId="113690" r:id="rId29" name="Check Box 26">
              <controlPr defaultSize="0" autoFill="0" autoLine="0" autoPict="0">
                <anchor moveWithCells="1">
                  <from>
                    <xdr:col>2</xdr:col>
                    <xdr:colOff>99060</xdr:colOff>
                    <xdr:row>34</xdr:row>
                    <xdr:rowOff>0</xdr:rowOff>
                  </from>
                  <to>
                    <xdr:col>3</xdr:col>
                    <xdr:colOff>1021080</xdr:colOff>
                    <xdr:row>34</xdr:row>
                    <xdr:rowOff>160020</xdr:rowOff>
                  </to>
                </anchor>
              </controlPr>
            </control>
          </mc:Choice>
        </mc:AlternateContent>
        <mc:AlternateContent xmlns:mc="http://schemas.openxmlformats.org/markup-compatibility/2006">
          <mc:Choice Requires="x14">
            <control shapeId="113691" r:id="rId30" name="Check Box 27">
              <controlPr defaultSize="0" autoFill="0" autoLine="0" autoPict="0">
                <anchor moveWithCells="1">
                  <from>
                    <xdr:col>2</xdr:col>
                    <xdr:colOff>99060</xdr:colOff>
                    <xdr:row>32</xdr:row>
                    <xdr:rowOff>182880</xdr:rowOff>
                  </from>
                  <to>
                    <xdr:col>3</xdr:col>
                    <xdr:colOff>1935480</xdr:colOff>
                    <xdr:row>33</xdr:row>
                    <xdr:rowOff>182880</xdr:rowOff>
                  </to>
                </anchor>
              </controlPr>
            </control>
          </mc:Choice>
        </mc:AlternateContent>
        <mc:AlternateContent xmlns:mc="http://schemas.openxmlformats.org/markup-compatibility/2006">
          <mc:Choice Requires="x14">
            <control shapeId="113692" r:id="rId31" name="Check Box 28">
              <controlPr defaultSize="0" autoFill="0" autoLine="0" autoPict="0">
                <anchor moveWithCells="1">
                  <from>
                    <xdr:col>2</xdr:col>
                    <xdr:colOff>38100</xdr:colOff>
                    <xdr:row>36</xdr:row>
                    <xdr:rowOff>30480</xdr:rowOff>
                  </from>
                  <to>
                    <xdr:col>10</xdr:col>
                    <xdr:colOff>30480</xdr:colOff>
                    <xdr:row>36</xdr:row>
                    <xdr:rowOff>160020</xdr:rowOff>
                  </to>
                </anchor>
              </controlPr>
            </control>
          </mc:Choice>
        </mc:AlternateContent>
        <mc:AlternateContent xmlns:mc="http://schemas.openxmlformats.org/markup-compatibility/2006">
          <mc:Choice Requires="x14">
            <control shapeId="113693" r:id="rId32" name="Check Box 29">
              <controlPr defaultSize="0" autoFill="0" autoLine="0" autoPict="0">
                <anchor moveWithCells="1">
                  <from>
                    <xdr:col>2</xdr:col>
                    <xdr:colOff>45720</xdr:colOff>
                    <xdr:row>37</xdr:row>
                    <xdr:rowOff>30480</xdr:rowOff>
                  </from>
                  <to>
                    <xdr:col>10</xdr:col>
                    <xdr:colOff>403860</xdr:colOff>
                    <xdr:row>38</xdr:row>
                    <xdr:rowOff>0</xdr:rowOff>
                  </to>
                </anchor>
              </controlPr>
            </control>
          </mc:Choice>
        </mc:AlternateContent>
        <mc:AlternateContent xmlns:mc="http://schemas.openxmlformats.org/markup-compatibility/2006">
          <mc:Choice Requires="x14">
            <control shapeId="113694" r:id="rId33" name="Check Box 30">
              <controlPr defaultSize="0" autoFill="0" autoLine="0" autoPict="0">
                <anchor moveWithCells="1">
                  <from>
                    <xdr:col>2</xdr:col>
                    <xdr:colOff>45720</xdr:colOff>
                    <xdr:row>38</xdr:row>
                    <xdr:rowOff>7620</xdr:rowOff>
                  </from>
                  <to>
                    <xdr:col>6</xdr:col>
                    <xdr:colOff>998220</xdr:colOff>
                    <xdr:row>39</xdr:row>
                    <xdr:rowOff>0</xdr:rowOff>
                  </to>
                </anchor>
              </controlPr>
            </control>
          </mc:Choice>
        </mc:AlternateContent>
        <mc:AlternateContent xmlns:mc="http://schemas.openxmlformats.org/markup-compatibility/2006">
          <mc:Choice Requires="x14">
            <control shapeId="113695" r:id="rId34" name="Check Box 31">
              <controlPr defaultSize="0" autoFill="0" autoLine="0" autoPict="0">
                <anchor moveWithCells="1">
                  <from>
                    <xdr:col>1</xdr:col>
                    <xdr:colOff>0</xdr:colOff>
                    <xdr:row>11</xdr:row>
                    <xdr:rowOff>0</xdr:rowOff>
                  </from>
                  <to>
                    <xdr:col>1</xdr:col>
                    <xdr:colOff>2933700</xdr:colOff>
                    <xdr:row>11</xdr:row>
                    <xdr:rowOff>251460</xdr:rowOff>
                  </to>
                </anchor>
              </controlPr>
            </control>
          </mc:Choice>
        </mc:AlternateContent>
        <mc:AlternateContent xmlns:mc="http://schemas.openxmlformats.org/markup-compatibility/2006">
          <mc:Choice Requires="x14">
            <control shapeId="113696" r:id="rId35" name="Check Box 32">
              <controlPr defaultSize="0" autoFill="0" autoLine="0" autoPict="0">
                <anchor moveWithCells="1">
                  <from>
                    <xdr:col>2</xdr:col>
                    <xdr:colOff>99060</xdr:colOff>
                    <xdr:row>32</xdr:row>
                    <xdr:rowOff>0</xdr:rowOff>
                  </from>
                  <to>
                    <xdr:col>2</xdr:col>
                    <xdr:colOff>3108960</xdr:colOff>
                    <xdr:row>33</xdr:row>
                    <xdr:rowOff>7620</xdr:rowOff>
                  </to>
                </anchor>
              </controlPr>
            </control>
          </mc:Choice>
        </mc:AlternateContent>
        <mc:AlternateContent xmlns:mc="http://schemas.openxmlformats.org/markup-compatibility/2006">
          <mc:Choice Requires="x14">
            <control shapeId="113697" r:id="rId36" name="Check Box 33">
              <controlPr defaultSize="0" autoFill="0" autoLine="0" autoPict="0">
                <anchor moveWithCells="1">
                  <from>
                    <xdr:col>2</xdr:col>
                    <xdr:colOff>99060</xdr:colOff>
                    <xdr:row>34</xdr:row>
                    <xdr:rowOff>0</xdr:rowOff>
                  </from>
                  <to>
                    <xdr:col>3</xdr:col>
                    <xdr:colOff>1021080</xdr:colOff>
                    <xdr:row>34</xdr:row>
                    <xdr:rowOff>160020</xdr:rowOff>
                  </to>
                </anchor>
              </controlPr>
            </control>
          </mc:Choice>
        </mc:AlternateContent>
        <mc:AlternateContent xmlns:mc="http://schemas.openxmlformats.org/markup-compatibility/2006">
          <mc:Choice Requires="x14">
            <control shapeId="113698" r:id="rId37" name="Check Box 34">
              <controlPr defaultSize="0" autoFill="0" autoLine="0" autoPict="0">
                <anchor moveWithCells="1">
                  <from>
                    <xdr:col>2</xdr:col>
                    <xdr:colOff>99060</xdr:colOff>
                    <xdr:row>32</xdr:row>
                    <xdr:rowOff>182880</xdr:rowOff>
                  </from>
                  <to>
                    <xdr:col>3</xdr:col>
                    <xdr:colOff>1935480</xdr:colOff>
                    <xdr:row>33</xdr:row>
                    <xdr:rowOff>182880</xdr:rowOff>
                  </to>
                </anchor>
              </controlPr>
            </control>
          </mc:Choice>
        </mc:AlternateContent>
        <mc:AlternateContent xmlns:mc="http://schemas.openxmlformats.org/markup-compatibility/2006">
          <mc:Choice Requires="x14">
            <control shapeId="113699" r:id="rId38" name="Check Box 35">
              <controlPr defaultSize="0" autoFill="0" autoLine="0" autoPict="0">
                <anchor moveWithCells="1">
                  <from>
                    <xdr:col>2</xdr:col>
                    <xdr:colOff>45720</xdr:colOff>
                    <xdr:row>38</xdr:row>
                    <xdr:rowOff>7620</xdr:rowOff>
                  </from>
                  <to>
                    <xdr:col>6</xdr:col>
                    <xdr:colOff>998220</xdr:colOff>
                    <xdr:row>39</xdr:row>
                    <xdr:rowOff>0</xdr:rowOff>
                  </to>
                </anchor>
              </controlPr>
            </control>
          </mc:Choice>
        </mc:AlternateContent>
        <mc:AlternateContent xmlns:mc="http://schemas.openxmlformats.org/markup-compatibility/2006">
          <mc:Choice Requires="x14">
            <control shapeId="113700" r:id="rId39" name="Check Box 36">
              <controlPr defaultSize="0" autoFill="0" autoLine="0" autoPict="0">
                <anchor moveWithCells="1">
                  <from>
                    <xdr:col>1</xdr:col>
                    <xdr:colOff>0</xdr:colOff>
                    <xdr:row>11</xdr:row>
                    <xdr:rowOff>0</xdr:rowOff>
                  </from>
                  <to>
                    <xdr:col>1</xdr:col>
                    <xdr:colOff>2933700</xdr:colOff>
                    <xdr:row>11</xdr:row>
                    <xdr:rowOff>251460</xdr:rowOff>
                  </to>
                </anchor>
              </controlPr>
            </control>
          </mc:Choice>
        </mc:AlternateContent>
        <mc:AlternateContent xmlns:mc="http://schemas.openxmlformats.org/markup-compatibility/2006">
          <mc:Choice Requires="x14">
            <control shapeId="113701" r:id="rId40" name="Check Box 37">
              <controlPr defaultSize="0" autoFill="0" autoLine="0" autoPict="0">
                <anchor moveWithCells="1">
                  <from>
                    <xdr:col>2</xdr:col>
                    <xdr:colOff>99060</xdr:colOff>
                    <xdr:row>32</xdr:row>
                    <xdr:rowOff>0</xdr:rowOff>
                  </from>
                  <to>
                    <xdr:col>2</xdr:col>
                    <xdr:colOff>3108960</xdr:colOff>
                    <xdr:row>33</xdr:row>
                    <xdr:rowOff>7620</xdr:rowOff>
                  </to>
                </anchor>
              </controlPr>
            </control>
          </mc:Choice>
        </mc:AlternateContent>
        <mc:AlternateContent xmlns:mc="http://schemas.openxmlformats.org/markup-compatibility/2006">
          <mc:Choice Requires="x14">
            <control shapeId="113702" r:id="rId41" name="Check Box 38">
              <controlPr defaultSize="0" autoFill="0" autoLine="0" autoPict="0">
                <anchor moveWithCells="1">
                  <from>
                    <xdr:col>2</xdr:col>
                    <xdr:colOff>99060</xdr:colOff>
                    <xdr:row>34</xdr:row>
                    <xdr:rowOff>0</xdr:rowOff>
                  </from>
                  <to>
                    <xdr:col>3</xdr:col>
                    <xdr:colOff>1021080</xdr:colOff>
                    <xdr:row>34</xdr:row>
                    <xdr:rowOff>160020</xdr:rowOff>
                  </to>
                </anchor>
              </controlPr>
            </control>
          </mc:Choice>
        </mc:AlternateContent>
        <mc:AlternateContent xmlns:mc="http://schemas.openxmlformats.org/markup-compatibility/2006">
          <mc:Choice Requires="x14">
            <control shapeId="113703" r:id="rId42" name="Check Box 39">
              <controlPr defaultSize="0" autoFill="0" autoLine="0" autoPict="0">
                <anchor moveWithCells="1">
                  <from>
                    <xdr:col>2</xdr:col>
                    <xdr:colOff>99060</xdr:colOff>
                    <xdr:row>32</xdr:row>
                    <xdr:rowOff>182880</xdr:rowOff>
                  </from>
                  <to>
                    <xdr:col>3</xdr:col>
                    <xdr:colOff>1935480</xdr:colOff>
                    <xdr:row>33</xdr:row>
                    <xdr:rowOff>182880</xdr:rowOff>
                  </to>
                </anchor>
              </controlPr>
            </control>
          </mc:Choice>
        </mc:AlternateContent>
        <mc:AlternateContent xmlns:mc="http://schemas.openxmlformats.org/markup-compatibility/2006">
          <mc:Choice Requires="x14">
            <control shapeId="113704" r:id="rId43" name="Check Box 40">
              <controlPr defaultSize="0" autoFill="0" autoLine="0" autoPict="0">
                <anchor moveWithCells="1">
                  <from>
                    <xdr:col>2</xdr:col>
                    <xdr:colOff>38100</xdr:colOff>
                    <xdr:row>36</xdr:row>
                    <xdr:rowOff>30480</xdr:rowOff>
                  </from>
                  <to>
                    <xdr:col>10</xdr:col>
                    <xdr:colOff>30480</xdr:colOff>
                    <xdr:row>36</xdr:row>
                    <xdr:rowOff>160020</xdr:rowOff>
                  </to>
                </anchor>
              </controlPr>
            </control>
          </mc:Choice>
        </mc:AlternateContent>
        <mc:AlternateContent xmlns:mc="http://schemas.openxmlformats.org/markup-compatibility/2006">
          <mc:Choice Requires="x14">
            <control shapeId="113705" r:id="rId44" name="Check Box 41">
              <controlPr defaultSize="0" autoFill="0" autoLine="0" autoPict="0">
                <anchor moveWithCells="1">
                  <from>
                    <xdr:col>2</xdr:col>
                    <xdr:colOff>45720</xdr:colOff>
                    <xdr:row>37</xdr:row>
                    <xdr:rowOff>30480</xdr:rowOff>
                  </from>
                  <to>
                    <xdr:col>10</xdr:col>
                    <xdr:colOff>403860</xdr:colOff>
                    <xdr:row>38</xdr:row>
                    <xdr:rowOff>0</xdr:rowOff>
                  </to>
                </anchor>
              </controlPr>
            </control>
          </mc:Choice>
        </mc:AlternateContent>
        <mc:AlternateContent xmlns:mc="http://schemas.openxmlformats.org/markup-compatibility/2006">
          <mc:Choice Requires="x14">
            <control shapeId="113706" r:id="rId45" name="Check Box 42">
              <controlPr defaultSize="0" autoFill="0" autoLine="0" autoPict="0">
                <anchor moveWithCells="1">
                  <from>
                    <xdr:col>2</xdr:col>
                    <xdr:colOff>45720</xdr:colOff>
                    <xdr:row>38</xdr:row>
                    <xdr:rowOff>7620</xdr:rowOff>
                  </from>
                  <to>
                    <xdr:col>6</xdr:col>
                    <xdr:colOff>998220</xdr:colOff>
                    <xdr:row>39</xdr:row>
                    <xdr:rowOff>0</xdr:rowOff>
                  </to>
                </anchor>
              </controlPr>
            </control>
          </mc:Choice>
        </mc:AlternateContent>
        <mc:AlternateContent xmlns:mc="http://schemas.openxmlformats.org/markup-compatibility/2006">
          <mc:Choice Requires="x14">
            <control shapeId="113707" r:id="rId46" name="Check Box 43">
              <controlPr defaultSize="0" autoFill="0" autoLine="0" autoPict="0">
                <anchor moveWithCells="1">
                  <from>
                    <xdr:col>1</xdr:col>
                    <xdr:colOff>0</xdr:colOff>
                    <xdr:row>11</xdr:row>
                    <xdr:rowOff>0</xdr:rowOff>
                  </from>
                  <to>
                    <xdr:col>1</xdr:col>
                    <xdr:colOff>2933700</xdr:colOff>
                    <xdr:row>11</xdr:row>
                    <xdr:rowOff>251460</xdr:rowOff>
                  </to>
                </anchor>
              </controlPr>
            </control>
          </mc:Choice>
        </mc:AlternateContent>
        <mc:AlternateContent xmlns:mc="http://schemas.openxmlformats.org/markup-compatibility/2006">
          <mc:Choice Requires="x14">
            <control shapeId="113708" r:id="rId47" name="Check Box 44">
              <controlPr defaultSize="0" autoFill="0" autoLine="0" autoPict="0">
                <anchor moveWithCells="1">
                  <from>
                    <xdr:col>2</xdr:col>
                    <xdr:colOff>99060</xdr:colOff>
                    <xdr:row>32</xdr:row>
                    <xdr:rowOff>0</xdr:rowOff>
                  </from>
                  <to>
                    <xdr:col>2</xdr:col>
                    <xdr:colOff>3108960</xdr:colOff>
                    <xdr:row>33</xdr:row>
                    <xdr:rowOff>7620</xdr:rowOff>
                  </to>
                </anchor>
              </controlPr>
            </control>
          </mc:Choice>
        </mc:AlternateContent>
        <mc:AlternateContent xmlns:mc="http://schemas.openxmlformats.org/markup-compatibility/2006">
          <mc:Choice Requires="x14">
            <control shapeId="113709" r:id="rId48" name="Check Box 45">
              <controlPr defaultSize="0" autoFill="0" autoLine="0" autoPict="0">
                <anchor moveWithCells="1">
                  <from>
                    <xdr:col>2</xdr:col>
                    <xdr:colOff>99060</xdr:colOff>
                    <xdr:row>34</xdr:row>
                    <xdr:rowOff>0</xdr:rowOff>
                  </from>
                  <to>
                    <xdr:col>3</xdr:col>
                    <xdr:colOff>1021080</xdr:colOff>
                    <xdr:row>34</xdr:row>
                    <xdr:rowOff>160020</xdr:rowOff>
                  </to>
                </anchor>
              </controlPr>
            </control>
          </mc:Choice>
        </mc:AlternateContent>
        <mc:AlternateContent xmlns:mc="http://schemas.openxmlformats.org/markup-compatibility/2006">
          <mc:Choice Requires="x14">
            <control shapeId="113710" r:id="rId49" name="Check Box 46">
              <controlPr defaultSize="0" autoFill="0" autoLine="0" autoPict="0">
                <anchor moveWithCells="1">
                  <from>
                    <xdr:col>2</xdr:col>
                    <xdr:colOff>99060</xdr:colOff>
                    <xdr:row>32</xdr:row>
                    <xdr:rowOff>182880</xdr:rowOff>
                  </from>
                  <to>
                    <xdr:col>3</xdr:col>
                    <xdr:colOff>1935480</xdr:colOff>
                    <xdr:row>33</xdr:row>
                    <xdr:rowOff>182880</xdr:rowOff>
                  </to>
                </anchor>
              </controlPr>
            </control>
          </mc:Choice>
        </mc:AlternateContent>
        <mc:AlternateContent xmlns:mc="http://schemas.openxmlformats.org/markup-compatibility/2006">
          <mc:Choice Requires="x14">
            <control shapeId="113711" r:id="rId50" name="Check Box 47">
              <controlPr defaultSize="0" autoFill="0" autoLine="0" autoPict="0">
                <anchor moveWithCells="1">
                  <from>
                    <xdr:col>2</xdr:col>
                    <xdr:colOff>45720</xdr:colOff>
                    <xdr:row>38</xdr:row>
                    <xdr:rowOff>7620</xdr:rowOff>
                  </from>
                  <to>
                    <xdr:col>6</xdr:col>
                    <xdr:colOff>998220</xdr:colOff>
                    <xdr:row>39</xdr:row>
                    <xdr:rowOff>0</xdr:rowOff>
                  </to>
                </anchor>
              </controlPr>
            </control>
          </mc:Choice>
        </mc:AlternateContent>
        <mc:AlternateContent xmlns:mc="http://schemas.openxmlformats.org/markup-compatibility/2006">
          <mc:Choice Requires="x14">
            <control shapeId="113712" r:id="rId51" name="Check Box 48">
              <controlPr defaultSize="0" autoFill="0" autoLine="0" autoPict="0">
                <anchor moveWithCells="1">
                  <from>
                    <xdr:col>1</xdr:col>
                    <xdr:colOff>0</xdr:colOff>
                    <xdr:row>11</xdr:row>
                    <xdr:rowOff>0</xdr:rowOff>
                  </from>
                  <to>
                    <xdr:col>1</xdr:col>
                    <xdr:colOff>2933700</xdr:colOff>
                    <xdr:row>11</xdr:row>
                    <xdr:rowOff>251460</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XEX37"/>
  <sheetViews>
    <sheetView workbookViewId="0">
      <selection activeCell="C45" sqref="C45"/>
    </sheetView>
  </sheetViews>
  <sheetFormatPr defaultRowHeight="14.4"/>
  <cols>
    <col min="2" max="2" width="37.6640625" customWidth="1"/>
    <col min="3" max="3" width="56.33203125" customWidth="1"/>
    <col min="4" max="4" width="14" customWidth="1"/>
    <col min="5" max="5" width="12" customWidth="1"/>
    <col min="6" max="6" width="12.6640625" customWidth="1"/>
  </cols>
  <sheetData>
    <row r="1" spans="1:7" ht="15">
      <c r="A1" s="2" t="s">
        <v>70</v>
      </c>
    </row>
    <row r="3" spans="1:7" ht="16.2">
      <c r="A3" s="4" t="s">
        <v>334</v>
      </c>
      <c r="B3" s="159"/>
      <c r="C3" s="5"/>
      <c r="D3" s="5"/>
      <c r="E3" s="5"/>
      <c r="F3" s="6"/>
    </row>
    <row r="5" spans="1:7">
      <c r="B5" s="148" t="s">
        <v>248</v>
      </c>
      <c r="C5" s="148" t="s">
        <v>249</v>
      </c>
    </row>
    <row r="6" spans="1:7">
      <c r="B6" s="149"/>
      <c r="C6" s="149"/>
    </row>
    <row r="8" spans="1:7" ht="13.5" customHeight="1">
      <c r="A8" s="2" t="s">
        <v>287</v>
      </c>
      <c r="C8" s="7"/>
      <c r="D8" s="7"/>
      <c r="E8" s="7"/>
      <c r="F8" s="7"/>
    </row>
    <row r="9" spans="1:7" ht="41.25" customHeight="1">
      <c r="F9" t="s">
        <v>86</v>
      </c>
      <c r="G9" s="160"/>
    </row>
    <row r="10" spans="1:7" ht="0.75" customHeight="1">
      <c r="B10" s="161" t="s">
        <v>250</v>
      </c>
      <c r="C10" s="8"/>
      <c r="D10" s="920" t="s">
        <v>37</v>
      </c>
      <c r="E10" s="920"/>
      <c r="F10" s="920"/>
    </row>
    <row r="11" spans="1:7" ht="23.25" customHeight="1">
      <c r="B11" s="161" t="s">
        <v>251</v>
      </c>
      <c r="C11" s="8"/>
      <c r="D11" s="926" t="s">
        <v>289</v>
      </c>
      <c r="E11" s="926" t="s">
        <v>288</v>
      </c>
      <c r="F11" s="920" t="s">
        <v>54</v>
      </c>
    </row>
    <row r="12" spans="1:7" ht="23.25" customHeight="1">
      <c r="B12" s="161" t="s">
        <v>252</v>
      </c>
      <c r="C12" s="8"/>
      <c r="D12" s="927"/>
      <c r="E12" s="927"/>
      <c r="F12" s="920"/>
    </row>
    <row r="13" spans="1:7" ht="23.25" customHeight="1">
      <c r="B13" s="161" t="s">
        <v>253</v>
      </c>
      <c r="C13" s="8"/>
      <c r="D13" s="927"/>
      <c r="E13" s="927"/>
      <c r="F13" s="920"/>
    </row>
    <row r="14" spans="1:7" ht="23.25" customHeight="1">
      <c r="B14" s="161" t="s">
        <v>292</v>
      </c>
      <c r="C14" s="8"/>
      <c r="D14" s="927"/>
      <c r="E14" s="927"/>
      <c r="F14" s="920"/>
    </row>
    <row r="15" spans="1:7" ht="23.25" customHeight="1">
      <c r="B15" s="162" t="s">
        <v>293</v>
      </c>
      <c r="C15" s="163"/>
      <c r="D15" s="928"/>
      <c r="E15" s="928"/>
      <c r="F15" s="929"/>
    </row>
    <row r="16" spans="1:7" ht="23.25" customHeight="1">
      <c r="B16" s="924" t="s">
        <v>254</v>
      </c>
      <c r="C16" s="925"/>
      <c r="D16" s="164"/>
      <c r="E16" s="164"/>
      <c r="F16" s="164"/>
    </row>
    <row r="17" spans="1:16378" ht="18.75" customHeight="1">
      <c r="B17" s="165" t="s">
        <v>294</v>
      </c>
      <c r="C17" s="166" t="s">
        <v>255</v>
      </c>
      <c r="D17" s="167"/>
      <c r="E17" s="167"/>
      <c r="F17" s="167"/>
    </row>
    <row r="18" spans="1:16378" ht="18.75" customHeight="1">
      <c r="B18" s="168"/>
      <c r="C18" s="169"/>
      <c r="D18" s="170"/>
      <c r="E18" s="171"/>
      <c r="F18" s="171"/>
    </row>
    <row r="19" spans="1:16378" ht="18.75" customHeight="1">
      <c r="B19" s="168"/>
      <c r="C19" s="169"/>
      <c r="D19" s="170"/>
      <c r="E19" s="171"/>
      <c r="F19" s="171"/>
    </row>
    <row r="20" spans="1:16378" ht="19.5" customHeight="1">
      <c r="B20" s="923" t="s">
        <v>300</v>
      </c>
      <c r="C20" s="923"/>
      <c r="D20" s="172"/>
      <c r="E20" s="172"/>
      <c r="F20" s="172"/>
    </row>
    <row r="21" spans="1:16378" s="173" customFormat="1" ht="26.25" customHeight="1">
      <c r="A21"/>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c r="AMK21"/>
      <c r="AML21"/>
      <c r="AMM21"/>
      <c r="AMN21"/>
      <c r="AMO21"/>
      <c r="AMP21"/>
      <c r="AMQ21"/>
      <c r="AMR21"/>
      <c r="AMS21"/>
      <c r="AMT21"/>
      <c r="AMU21"/>
      <c r="AMV21"/>
      <c r="AMW21"/>
      <c r="AMX21"/>
      <c r="AMY21"/>
      <c r="AMZ21"/>
      <c r="ANA21"/>
      <c r="ANB21"/>
      <c r="ANC21"/>
      <c r="AND21"/>
      <c r="ANE21"/>
      <c r="ANF21"/>
      <c r="ANG21"/>
      <c r="ANH21"/>
      <c r="ANI21"/>
      <c r="ANJ21"/>
      <c r="ANK21"/>
      <c r="ANL21"/>
      <c r="ANM21"/>
      <c r="ANN21"/>
      <c r="ANO21"/>
      <c r="ANP21"/>
      <c r="ANQ21"/>
      <c r="ANR21"/>
      <c r="ANS21"/>
      <c r="ANT21"/>
      <c r="ANU21"/>
      <c r="ANV21"/>
      <c r="ANW21"/>
      <c r="ANX21"/>
      <c r="ANY21"/>
      <c r="ANZ21"/>
      <c r="AOA21"/>
      <c r="AOB21"/>
      <c r="AOC21"/>
      <c r="AOD21"/>
      <c r="AOE21"/>
      <c r="AOF21"/>
      <c r="AOG21"/>
      <c r="AOH21"/>
      <c r="AOI21"/>
      <c r="AOJ21"/>
      <c r="AOK21"/>
      <c r="AOL21"/>
      <c r="AOM21"/>
      <c r="AON21"/>
      <c r="AOO21"/>
      <c r="AOP21"/>
      <c r="AOQ21"/>
      <c r="AOR21"/>
      <c r="AOS21"/>
      <c r="AOT21"/>
      <c r="AOU21"/>
      <c r="AOV21"/>
      <c r="AOW21"/>
      <c r="AOX21"/>
      <c r="AOY21"/>
      <c r="AOZ21"/>
      <c r="APA21"/>
      <c r="APB21"/>
      <c r="APC21"/>
      <c r="APD21"/>
      <c r="APE21"/>
      <c r="APF21"/>
      <c r="APG21"/>
      <c r="APH21"/>
      <c r="API21"/>
      <c r="APJ21"/>
      <c r="APK21"/>
      <c r="APL21"/>
      <c r="APM21"/>
      <c r="APN21"/>
      <c r="APO21"/>
      <c r="APP21"/>
      <c r="APQ21"/>
      <c r="APR21"/>
      <c r="APS21"/>
      <c r="APT21"/>
      <c r="APU21"/>
      <c r="APV21"/>
      <c r="APW21"/>
      <c r="APX21"/>
      <c r="APY21"/>
      <c r="APZ21"/>
      <c r="AQA21"/>
      <c r="AQB21"/>
      <c r="AQC21"/>
      <c r="AQD21"/>
      <c r="AQE21"/>
      <c r="AQF21"/>
      <c r="AQG21"/>
      <c r="AQH21"/>
      <c r="AQI21"/>
      <c r="AQJ21"/>
      <c r="AQK21"/>
      <c r="AQL21"/>
      <c r="AQM21"/>
      <c r="AQN21"/>
      <c r="AQO21"/>
      <c r="AQP21"/>
      <c r="AQQ21"/>
      <c r="AQR21"/>
      <c r="AQS21"/>
      <c r="AQT21"/>
      <c r="AQU21"/>
      <c r="AQV21"/>
      <c r="AQW21"/>
      <c r="AQX21"/>
      <c r="AQY21"/>
      <c r="AQZ21"/>
      <c r="ARA21"/>
      <c r="ARB21"/>
      <c r="ARC21"/>
      <c r="ARD21"/>
      <c r="ARE21"/>
      <c r="ARF21"/>
      <c r="ARG21"/>
      <c r="ARH21"/>
      <c r="ARI21"/>
      <c r="ARJ21"/>
      <c r="ARK21"/>
      <c r="ARL21"/>
      <c r="ARM21"/>
      <c r="ARN21"/>
      <c r="ARO21"/>
      <c r="ARP21"/>
      <c r="ARQ21"/>
      <c r="ARR21"/>
      <c r="ARS21"/>
      <c r="ART21"/>
      <c r="ARU21"/>
      <c r="ARV21"/>
      <c r="ARW21"/>
      <c r="ARX21"/>
      <c r="ARY21"/>
      <c r="ARZ21"/>
      <c r="ASA21"/>
      <c r="ASB21"/>
      <c r="ASC21"/>
      <c r="ASD21"/>
      <c r="ASE21"/>
      <c r="ASF21"/>
      <c r="ASG21"/>
      <c r="ASH21"/>
      <c r="ASI21"/>
      <c r="ASJ21"/>
      <c r="ASK21"/>
      <c r="ASL21"/>
      <c r="ASM21"/>
      <c r="ASN21"/>
      <c r="ASO21"/>
      <c r="ASP21"/>
      <c r="ASQ21"/>
      <c r="ASR21"/>
      <c r="ASS21"/>
      <c r="AST21"/>
      <c r="ASU21"/>
      <c r="ASV21"/>
      <c r="ASW21"/>
      <c r="ASX21"/>
      <c r="ASY21"/>
      <c r="ASZ21"/>
      <c r="ATA21"/>
      <c r="ATB21"/>
      <c r="ATC21"/>
      <c r="ATD21"/>
      <c r="ATE21"/>
      <c r="ATF21"/>
      <c r="ATG21"/>
      <c r="ATH21"/>
      <c r="ATI21"/>
      <c r="ATJ21"/>
      <c r="ATK21"/>
      <c r="ATL21"/>
      <c r="ATM21"/>
      <c r="ATN21"/>
      <c r="ATO21"/>
      <c r="ATP21"/>
      <c r="ATQ21"/>
      <c r="ATR21"/>
      <c r="ATS21"/>
      <c r="ATT21"/>
      <c r="ATU21"/>
      <c r="ATV21"/>
      <c r="ATW21"/>
      <c r="ATX21"/>
      <c r="ATY21"/>
      <c r="ATZ21"/>
      <c r="AUA21"/>
      <c r="AUB21"/>
      <c r="AUC21"/>
      <c r="AUD21"/>
      <c r="AUE21"/>
      <c r="AUF21"/>
      <c r="AUG21"/>
      <c r="AUH21"/>
      <c r="AUI21"/>
      <c r="AUJ21"/>
      <c r="AUK21"/>
      <c r="AUL21"/>
      <c r="AUM21"/>
      <c r="AUN21"/>
      <c r="AUO21"/>
      <c r="AUP21"/>
      <c r="AUQ21"/>
      <c r="AUR21"/>
      <c r="AUS21"/>
      <c r="AUT21"/>
      <c r="AUU21"/>
      <c r="AUV21"/>
      <c r="AUW21"/>
      <c r="AUX21"/>
      <c r="AUY21"/>
      <c r="AUZ21"/>
      <c r="AVA21"/>
      <c r="AVB21"/>
      <c r="AVC21"/>
      <c r="AVD21"/>
      <c r="AVE21"/>
      <c r="AVF21"/>
      <c r="AVG21"/>
      <c r="AVH21"/>
      <c r="AVI21"/>
      <c r="AVJ21"/>
      <c r="AVK21"/>
      <c r="AVL21"/>
      <c r="AVM21"/>
      <c r="AVN21"/>
      <c r="AVO21"/>
      <c r="AVP21"/>
      <c r="AVQ21"/>
      <c r="AVR21"/>
      <c r="AVS21"/>
      <c r="AVT21"/>
      <c r="AVU21"/>
      <c r="AVV21"/>
      <c r="AVW21"/>
      <c r="AVX21"/>
      <c r="AVY21"/>
      <c r="AVZ21"/>
      <c r="AWA21"/>
      <c r="AWB21"/>
      <c r="AWC21"/>
      <c r="AWD21"/>
      <c r="AWE21"/>
      <c r="AWF21"/>
      <c r="AWG21"/>
      <c r="AWH21"/>
      <c r="AWI21"/>
      <c r="AWJ21"/>
      <c r="AWK21"/>
      <c r="AWL21"/>
      <c r="AWM21"/>
      <c r="AWN21"/>
      <c r="AWO21"/>
      <c r="AWP21"/>
      <c r="AWQ21"/>
      <c r="AWR21"/>
      <c r="AWS21"/>
      <c r="AWT21"/>
      <c r="AWU21"/>
      <c r="AWV21"/>
      <c r="AWW21"/>
      <c r="AWX21"/>
      <c r="AWY21"/>
      <c r="AWZ21"/>
      <c r="AXA21"/>
      <c r="AXB21"/>
      <c r="AXC21"/>
      <c r="AXD21"/>
      <c r="AXE21"/>
      <c r="AXF21"/>
      <c r="AXG21"/>
      <c r="AXH21"/>
      <c r="AXI21"/>
      <c r="AXJ21"/>
      <c r="AXK21"/>
      <c r="AXL21"/>
      <c r="AXM21"/>
      <c r="AXN21"/>
      <c r="AXO21"/>
      <c r="AXP21"/>
      <c r="AXQ21"/>
      <c r="AXR21"/>
      <c r="AXS21"/>
      <c r="AXT21"/>
      <c r="AXU21"/>
      <c r="AXV21"/>
      <c r="AXW21"/>
      <c r="AXX21"/>
      <c r="AXY21"/>
      <c r="AXZ21"/>
      <c r="AYA21"/>
      <c r="AYB21"/>
      <c r="AYC21"/>
      <c r="AYD21"/>
      <c r="AYE21"/>
      <c r="AYF21"/>
      <c r="AYG21"/>
      <c r="AYH21"/>
      <c r="AYI21"/>
      <c r="AYJ21"/>
      <c r="AYK21"/>
      <c r="AYL21"/>
      <c r="AYM21"/>
      <c r="AYN21"/>
      <c r="AYO21"/>
      <c r="AYP21"/>
      <c r="AYQ21"/>
      <c r="AYR21"/>
      <c r="AYS21"/>
      <c r="AYT21"/>
      <c r="AYU21"/>
      <c r="AYV21"/>
      <c r="AYW21"/>
      <c r="AYX21"/>
      <c r="AYY21"/>
      <c r="AYZ21"/>
      <c r="AZA21"/>
      <c r="AZB21"/>
      <c r="AZC21"/>
      <c r="AZD21"/>
      <c r="AZE21"/>
      <c r="AZF21"/>
      <c r="AZG21"/>
      <c r="AZH21"/>
      <c r="AZI21"/>
      <c r="AZJ21"/>
      <c r="AZK21"/>
      <c r="AZL21"/>
      <c r="AZM21"/>
      <c r="AZN21"/>
      <c r="AZO21"/>
      <c r="AZP21"/>
      <c r="AZQ21"/>
      <c r="AZR21"/>
      <c r="AZS21"/>
      <c r="AZT21"/>
      <c r="AZU21"/>
      <c r="AZV21"/>
      <c r="AZW21"/>
      <c r="AZX21"/>
      <c r="AZY21"/>
      <c r="AZZ21"/>
      <c r="BAA21"/>
      <c r="BAB21"/>
      <c r="BAC21"/>
      <c r="BAD21"/>
      <c r="BAE21"/>
      <c r="BAF21"/>
      <c r="BAG21"/>
      <c r="BAH21"/>
      <c r="BAI21"/>
      <c r="BAJ21"/>
      <c r="BAK21"/>
      <c r="BAL21"/>
      <c r="BAM21"/>
      <c r="BAN21"/>
      <c r="BAO21"/>
      <c r="BAP21"/>
      <c r="BAQ21"/>
      <c r="BAR21"/>
      <c r="BAS21"/>
      <c r="BAT21"/>
      <c r="BAU21"/>
      <c r="BAV21"/>
      <c r="BAW21"/>
      <c r="BAX21"/>
      <c r="BAY21"/>
      <c r="BAZ21"/>
      <c r="BBA21"/>
      <c r="BBB21"/>
      <c r="BBC21"/>
      <c r="BBD21"/>
      <c r="BBE21"/>
      <c r="BBF21"/>
      <c r="BBG21"/>
      <c r="BBH21"/>
      <c r="BBI21"/>
      <c r="BBJ21"/>
      <c r="BBK21"/>
      <c r="BBL21"/>
      <c r="BBM21"/>
      <c r="BBN21"/>
      <c r="BBO21"/>
      <c r="BBP21"/>
      <c r="BBQ21"/>
      <c r="BBR21"/>
      <c r="BBS21"/>
      <c r="BBT21"/>
      <c r="BBU21"/>
      <c r="BBV21"/>
      <c r="BBW21"/>
      <c r="BBX21"/>
      <c r="BBY21"/>
      <c r="BBZ21"/>
      <c r="BCA21"/>
      <c r="BCB21"/>
      <c r="BCC21"/>
      <c r="BCD21"/>
      <c r="BCE21"/>
      <c r="BCF21"/>
      <c r="BCG21"/>
      <c r="BCH21"/>
      <c r="BCI21"/>
      <c r="BCJ21"/>
      <c r="BCK21"/>
      <c r="BCL21"/>
      <c r="BCM21"/>
      <c r="BCN21"/>
      <c r="BCO21"/>
      <c r="BCP21"/>
      <c r="BCQ21"/>
      <c r="BCR21"/>
      <c r="BCS21"/>
      <c r="BCT21"/>
      <c r="BCU21"/>
      <c r="BCV21"/>
      <c r="BCW21"/>
      <c r="BCX21"/>
      <c r="BCY21"/>
      <c r="BCZ21"/>
      <c r="BDA21"/>
      <c r="BDB21"/>
      <c r="BDC21"/>
      <c r="BDD21"/>
      <c r="BDE21"/>
      <c r="BDF21"/>
      <c r="BDG21"/>
      <c r="BDH21"/>
      <c r="BDI21"/>
      <c r="BDJ21"/>
      <c r="BDK21"/>
      <c r="BDL21"/>
      <c r="BDM21"/>
      <c r="BDN21"/>
      <c r="BDO21"/>
      <c r="BDP21"/>
      <c r="BDQ21"/>
      <c r="BDR21"/>
      <c r="BDS21"/>
      <c r="BDT21"/>
      <c r="BDU21"/>
      <c r="BDV21"/>
      <c r="BDW21"/>
      <c r="BDX21"/>
      <c r="BDY21"/>
      <c r="BDZ21"/>
      <c r="BEA21"/>
      <c r="BEB21"/>
      <c r="BEC21"/>
      <c r="BED21"/>
      <c r="BEE21"/>
      <c r="BEF21"/>
      <c r="BEG21"/>
      <c r="BEH21"/>
      <c r="BEI21"/>
      <c r="BEJ21"/>
      <c r="BEK21"/>
      <c r="BEL21"/>
      <c r="BEM21"/>
      <c r="BEN21"/>
      <c r="BEO21"/>
      <c r="BEP21"/>
      <c r="BEQ21"/>
      <c r="BER21"/>
      <c r="BES21"/>
      <c r="BET21"/>
      <c r="BEU21"/>
      <c r="BEV21"/>
      <c r="BEW21"/>
      <c r="BEX21"/>
      <c r="BEY21"/>
      <c r="BEZ21"/>
      <c r="BFA21"/>
      <c r="BFB21"/>
      <c r="BFC21"/>
      <c r="BFD21"/>
      <c r="BFE21"/>
      <c r="BFF21"/>
      <c r="BFG21"/>
      <c r="BFH21"/>
      <c r="BFI21"/>
      <c r="BFJ21"/>
      <c r="BFK21"/>
      <c r="BFL21"/>
      <c r="BFM21"/>
      <c r="BFN21"/>
      <c r="BFO21"/>
      <c r="BFP21"/>
      <c r="BFQ21"/>
      <c r="BFR21"/>
      <c r="BFS21"/>
      <c r="BFT21"/>
      <c r="BFU21"/>
      <c r="BFV21"/>
      <c r="BFW21"/>
      <c r="BFX21"/>
      <c r="BFY21"/>
      <c r="BFZ21"/>
      <c r="BGA21"/>
      <c r="BGB21"/>
      <c r="BGC21"/>
      <c r="BGD21"/>
      <c r="BGE21"/>
      <c r="BGF21"/>
      <c r="BGG21"/>
      <c r="BGH21"/>
      <c r="BGI21"/>
      <c r="BGJ21"/>
      <c r="BGK21"/>
      <c r="BGL21"/>
      <c r="BGM21"/>
      <c r="BGN21"/>
      <c r="BGO21"/>
      <c r="BGP21"/>
      <c r="BGQ21"/>
      <c r="BGR21"/>
      <c r="BGS21"/>
      <c r="BGT21"/>
      <c r="BGU21"/>
      <c r="BGV21"/>
      <c r="BGW21"/>
      <c r="BGX21"/>
      <c r="BGY21"/>
      <c r="BGZ21"/>
      <c r="BHA21"/>
      <c r="BHB21"/>
      <c r="BHC21"/>
      <c r="BHD21"/>
      <c r="BHE21"/>
      <c r="BHF21"/>
      <c r="BHG21"/>
      <c r="BHH21"/>
      <c r="BHI21"/>
      <c r="BHJ21"/>
      <c r="BHK21"/>
      <c r="BHL21"/>
      <c r="BHM21"/>
      <c r="BHN21"/>
      <c r="BHO21"/>
      <c r="BHP21"/>
      <c r="BHQ21"/>
      <c r="BHR21"/>
      <c r="BHS21"/>
      <c r="BHT21"/>
      <c r="BHU21"/>
      <c r="BHV21"/>
      <c r="BHW21"/>
      <c r="BHX21"/>
      <c r="BHY21"/>
      <c r="BHZ21"/>
      <c r="BIA21"/>
      <c r="BIB21"/>
      <c r="BIC21"/>
      <c r="BID21"/>
      <c r="BIE21"/>
      <c r="BIF21"/>
      <c r="BIG21"/>
      <c r="BIH21"/>
      <c r="BII21"/>
      <c r="BIJ21"/>
      <c r="BIK21"/>
      <c r="BIL21"/>
      <c r="BIM21"/>
      <c r="BIN21"/>
      <c r="BIO21"/>
      <c r="BIP21"/>
      <c r="BIQ21"/>
      <c r="BIR21"/>
      <c r="BIS21"/>
      <c r="BIT21"/>
      <c r="BIU21"/>
      <c r="BIV21"/>
      <c r="BIW21"/>
      <c r="BIX21"/>
      <c r="BIY21"/>
      <c r="BIZ21"/>
      <c r="BJA21"/>
      <c r="BJB21"/>
      <c r="BJC21"/>
      <c r="BJD21"/>
      <c r="BJE21"/>
      <c r="BJF21"/>
      <c r="BJG21"/>
      <c r="BJH21"/>
      <c r="BJI21"/>
      <c r="BJJ21"/>
      <c r="BJK21"/>
      <c r="BJL21"/>
      <c r="BJM21"/>
      <c r="BJN21"/>
      <c r="BJO21"/>
      <c r="BJP21"/>
      <c r="BJQ21"/>
      <c r="BJR21"/>
      <c r="BJS21"/>
      <c r="BJT21"/>
      <c r="BJU21"/>
      <c r="BJV21"/>
      <c r="BJW21"/>
      <c r="BJX21"/>
      <c r="BJY21"/>
      <c r="BJZ21"/>
      <c r="BKA21"/>
      <c r="BKB21"/>
      <c r="BKC21"/>
      <c r="BKD21"/>
      <c r="BKE21"/>
      <c r="BKF21"/>
      <c r="BKG21"/>
      <c r="BKH21"/>
      <c r="BKI21"/>
      <c r="BKJ21"/>
      <c r="BKK21"/>
      <c r="BKL21"/>
      <c r="BKM21"/>
      <c r="BKN21"/>
      <c r="BKO21"/>
      <c r="BKP21"/>
      <c r="BKQ21"/>
      <c r="BKR21"/>
      <c r="BKS21"/>
      <c r="BKT21"/>
      <c r="BKU21"/>
      <c r="BKV21"/>
      <c r="BKW21"/>
      <c r="BKX21"/>
      <c r="BKY21"/>
      <c r="BKZ21"/>
      <c r="BLA21"/>
      <c r="BLB21"/>
      <c r="BLC21"/>
      <c r="BLD21"/>
      <c r="BLE21"/>
      <c r="BLF21"/>
      <c r="BLG21"/>
      <c r="BLH21"/>
      <c r="BLI21"/>
      <c r="BLJ21"/>
      <c r="BLK21"/>
      <c r="BLL21"/>
      <c r="BLM21"/>
      <c r="BLN21"/>
      <c r="BLO21"/>
      <c r="BLP21"/>
      <c r="BLQ21"/>
      <c r="BLR21"/>
      <c r="BLS21"/>
      <c r="BLT21"/>
      <c r="BLU21"/>
      <c r="BLV21"/>
      <c r="BLW21"/>
      <c r="BLX21"/>
      <c r="BLY21"/>
      <c r="BLZ21"/>
      <c r="BMA21"/>
      <c r="BMB21"/>
      <c r="BMC21"/>
      <c r="BMD21"/>
      <c r="BME21"/>
      <c r="BMF21"/>
      <c r="BMG21"/>
      <c r="BMH21"/>
      <c r="BMI21"/>
      <c r="BMJ21"/>
      <c r="BMK21"/>
      <c r="BML21"/>
      <c r="BMM21"/>
      <c r="BMN21"/>
      <c r="BMO21"/>
      <c r="BMP21"/>
      <c r="BMQ21"/>
      <c r="BMR21"/>
      <c r="BMS21"/>
      <c r="BMT21"/>
      <c r="BMU21"/>
      <c r="BMV21"/>
      <c r="BMW21"/>
      <c r="BMX21"/>
      <c r="BMY21"/>
      <c r="BMZ21"/>
      <c r="BNA21"/>
      <c r="BNB21"/>
      <c r="BNC21"/>
      <c r="BND21"/>
      <c r="BNE21"/>
      <c r="BNF21"/>
      <c r="BNG21"/>
      <c r="BNH21"/>
      <c r="BNI21"/>
      <c r="BNJ21"/>
      <c r="BNK21"/>
      <c r="BNL21"/>
      <c r="BNM21"/>
      <c r="BNN21"/>
      <c r="BNO21"/>
      <c r="BNP21"/>
      <c r="BNQ21"/>
      <c r="BNR21"/>
      <c r="BNS21"/>
      <c r="BNT21"/>
      <c r="BNU21"/>
      <c r="BNV21"/>
      <c r="BNW21"/>
      <c r="BNX21"/>
      <c r="BNY21"/>
      <c r="BNZ21"/>
      <c r="BOA21"/>
      <c r="BOB21"/>
      <c r="BOC21"/>
      <c r="BOD21"/>
      <c r="BOE21"/>
      <c r="BOF21"/>
      <c r="BOG21"/>
      <c r="BOH21"/>
      <c r="BOI21"/>
      <c r="BOJ21"/>
      <c r="BOK21"/>
      <c r="BOL21"/>
      <c r="BOM21"/>
      <c r="BON21"/>
      <c r="BOO21"/>
      <c r="BOP21"/>
      <c r="BOQ21"/>
      <c r="BOR21"/>
      <c r="BOS21"/>
      <c r="BOT21"/>
      <c r="BOU21"/>
      <c r="BOV21"/>
      <c r="BOW21"/>
      <c r="BOX21"/>
      <c r="BOY21"/>
      <c r="BOZ21"/>
      <c r="BPA21"/>
      <c r="BPB21"/>
      <c r="BPC21"/>
      <c r="BPD21"/>
      <c r="BPE21"/>
      <c r="BPF21"/>
      <c r="BPG21"/>
      <c r="BPH21"/>
      <c r="BPI21"/>
      <c r="BPJ21"/>
      <c r="BPK21"/>
      <c r="BPL21"/>
      <c r="BPM21"/>
      <c r="BPN21"/>
      <c r="BPO21"/>
      <c r="BPP21"/>
      <c r="BPQ21"/>
      <c r="BPR21"/>
      <c r="BPS21"/>
      <c r="BPT21"/>
      <c r="BPU21"/>
      <c r="BPV21"/>
      <c r="BPW21"/>
      <c r="BPX21"/>
      <c r="BPY21"/>
      <c r="BPZ21"/>
      <c r="BQA21"/>
      <c r="BQB21"/>
      <c r="BQC21"/>
      <c r="BQD21"/>
      <c r="BQE21"/>
      <c r="BQF21"/>
      <c r="BQG21"/>
      <c r="BQH21"/>
      <c r="BQI21"/>
      <c r="BQJ21"/>
      <c r="BQK21"/>
      <c r="BQL21"/>
      <c r="BQM21"/>
      <c r="BQN21"/>
      <c r="BQO21"/>
      <c r="BQP21"/>
      <c r="BQQ21"/>
      <c r="BQR21"/>
      <c r="BQS21"/>
      <c r="BQT21"/>
      <c r="BQU21"/>
      <c r="BQV21"/>
      <c r="BQW21"/>
      <c r="BQX21"/>
      <c r="BQY21"/>
      <c r="BQZ21"/>
      <c r="BRA21"/>
      <c r="BRB21"/>
      <c r="BRC21"/>
      <c r="BRD21"/>
      <c r="BRE21"/>
      <c r="BRF21"/>
      <c r="BRG21"/>
      <c r="BRH21"/>
      <c r="BRI21"/>
      <c r="BRJ21"/>
      <c r="BRK21"/>
      <c r="BRL21"/>
      <c r="BRM21"/>
      <c r="BRN21"/>
      <c r="BRO21"/>
      <c r="BRP21"/>
      <c r="BRQ21"/>
      <c r="BRR21"/>
      <c r="BRS21"/>
      <c r="BRT21"/>
      <c r="BRU21"/>
      <c r="BRV21"/>
      <c r="BRW21"/>
      <c r="BRX21"/>
      <c r="BRY21"/>
      <c r="BRZ21"/>
      <c r="BSA21"/>
      <c r="BSB21"/>
      <c r="BSC21"/>
      <c r="BSD21"/>
      <c r="BSE21"/>
      <c r="BSF21"/>
      <c r="BSG21"/>
      <c r="BSH21"/>
      <c r="BSI21"/>
      <c r="BSJ21"/>
      <c r="BSK21"/>
      <c r="BSL21"/>
      <c r="BSM21"/>
      <c r="BSN21"/>
      <c r="BSO21"/>
      <c r="BSP21"/>
      <c r="BSQ21"/>
      <c r="BSR21"/>
      <c r="BSS21"/>
      <c r="BST21"/>
      <c r="BSU21"/>
      <c r="BSV21"/>
      <c r="BSW21"/>
      <c r="BSX21"/>
      <c r="BSY21"/>
      <c r="BSZ21"/>
      <c r="BTA21"/>
      <c r="BTB21"/>
      <c r="BTC21"/>
      <c r="BTD21"/>
      <c r="BTE21"/>
      <c r="BTF21"/>
      <c r="BTG21"/>
      <c r="BTH21"/>
      <c r="BTI21"/>
      <c r="BTJ21"/>
      <c r="BTK21"/>
      <c r="BTL21"/>
      <c r="BTM21"/>
      <c r="BTN21"/>
      <c r="BTO21"/>
      <c r="BTP21"/>
      <c r="BTQ21"/>
      <c r="BTR21"/>
      <c r="BTS21"/>
      <c r="BTT21"/>
      <c r="BTU21"/>
      <c r="BTV21"/>
      <c r="BTW21"/>
      <c r="BTX21"/>
      <c r="BTY21"/>
      <c r="BTZ21"/>
      <c r="BUA21"/>
      <c r="BUB21"/>
      <c r="BUC21"/>
      <c r="BUD21"/>
      <c r="BUE21"/>
      <c r="BUF21"/>
      <c r="BUG21"/>
      <c r="BUH21"/>
      <c r="BUI21"/>
      <c r="BUJ21"/>
      <c r="BUK21"/>
      <c r="BUL21"/>
      <c r="BUM21"/>
      <c r="BUN21"/>
      <c r="BUO21"/>
      <c r="BUP21"/>
      <c r="BUQ21"/>
      <c r="BUR21"/>
      <c r="BUS21"/>
      <c r="BUT21"/>
      <c r="BUU21"/>
      <c r="BUV21"/>
      <c r="BUW21"/>
      <c r="BUX21"/>
      <c r="BUY21"/>
      <c r="BUZ21"/>
      <c r="BVA21"/>
      <c r="BVB21"/>
      <c r="BVC21"/>
      <c r="BVD21"/>
      <c r="BVE21"/>
      <c r="BVF21"/>
      <c r="BVG21"/>
      <c r="BVH21"/>
      <c r="BVI21"/>
      <c r="BVJ21"/>
      <c r="BVK21"/>
      <c r="BVL21"/>
      <c r="BVM21"/>
      <c r="BVN21"/>
      <c r="BVO21"/>
      <c r="BVP21"/>
      <c r="BVQ21"/>
      <c r="BVR21"/>
      <c r="BVS21"/>
      <c r="BVT21"/>
      <c r="BVU21"/>
      <c r="BVV21"/>
      <c r="BVW21"/>
      <c r="BVX21"/>
      <c r="BVY21"/>
      <c r="BVZ21"/>
      <c r="BWA21"/>
      <c r="BWB21"/>
      <c r="BWC21"/>
      <c r="BWD21"/>
      <c r="BWE21"/>
      <c r="BWF21"/>
      <c r="BWG21"/>
      <c r="BWH21"/>
      <c r="BWI21"/>
      <c r="BWJ21"/>
      <c r="BWK21"/>
      <c r="BWL21"/>
      <c r="BWM21"/>
      <c r="BWN21"/>
      <c r="BWO21"/>
      <c r="BWP21"/>
      <c r="BWQ21"/>
      <c r="BWR21"/>
      <c r="BWS21"/>
      <c r="BWT21"/>
      <c r="BWU21"/>
      <c r="BWV21"/>
      <c r="BWW21"/>
      <c r="BWX21"/>
      <c r="BWY21"/>
      <c r="BWZ21"/>
      <c r="BXA21"/>
      <c r="BXB21"/>
      <c r="BXC21"/>
      <c r="BXD21"/>
      <c r="BXE21"/>
      <c r="BXF21"/>
      <c r="BXG21"/>
      <c r="BXH21"/>
      <c r="BXI21"/>
      <c r="BXJ21"/>
      <c r="BXK21"/>
      <c r="BXL21"/>
      <c r="BXM21"/>
      <c r="BXN21"/>
      <c r="BXO21"/>
      <c r="BXP21"/>
      <c r="BXQ21"/>
      <c r="BXR21"/>
      <c r="BXS21"/>
      <c r="BXT21"/>
      <c r="BXU21"/>
      <c r="BXV21"/>
      <c r="BXW21"/>
      <c r="BXX21"/>
      <c r="BXY21"/>
      <c r="BXZ21"/>
      <c r="BYA21"/>
      <c r="BYB21"/>
      <c r="BYC21"/>
      <c r="BYD21"/>
      <c r="BYE21"/>
      <c r="BYF21"/>
      <c r="BYG21"/>
      <c r="BYH21"/>
      <c r="BYI21"/>
      <c r="BYJ21"/>
      <c r="BYK21"/>
      <c r="BYL21"/>
      <c r="BYM21"/>
      <c r="BYN21"/>
      <c r="BYO21"/>
      <c r="BYP21"/>
      <c r="BYQ21"/>
      <c r="BYR21"/>
      <c r="BYS21"/>
      <c r="BYT21"/>
      <c r="BYU21"/>
      <c r="BYV21"/>
      <c r="BYW21"/>
      <c r="BYX21"/>
      <c r="BYY21"/>
      <c r="BYZ21"/>
      <c r="BZA21"/>
      <c r="BZB21"/>
      <c r="BZC21"/>
      <c r="BZD21"/>
      <c r="BZE21"/>
      <c r="BZF21"/>
      <c r="BZG21"/>
      <c r="BZH21"/>
      <c r="BZI21"/>
      <c r="BZJ21"/>
      <c r="BZK21"/>
      <c r="BZL21"/>
      <c r="BZM21"/>
      <c r="BZN21"/>
      <c r="BZO21"/>
      <c r="BZP21"/>
      <c r="BZQ21"/>
      <c r="BZR21"/>
      <c r="BZS21"/>
      <c r="BZT21"/>
      <c r="BZU21"/>
      <c r="BZV21"/>
      <c r="BZW21"/>
      <c r="BZX21"/>
      <c r="BZY21"/>
      <c r="BZZ21"/>
      <c r="CAA21"/>
      <c r="CAB21"/>
      <c r="CAC21"/>
      <c r="CAD21"/>
      <c r="CAE21"/>
      <c r="CAF21"/>
      <c r="CAG21"/>
      <c r="CAH21"/>
      <c r="CAI21"/>
      <c r="CAJ21"/>
      <c r="CAK21"/>
      <c r="CAL21"/>
      <c r="CAM21"/>
      <c r="CAN21"/>
      <c r="CAO21"/>
      <c r="CAP21"/>
      <c r="CAQ21"/>
      <c r="CAR21"/>
      <c r="CAS21"/>
      <c r="CAT21"/>
      <c r="CAU21"/>
      <c r="CAV21"/>
      <c r="CAW21"/>
      <c r="CAX21"/>
      <c r="CAY21"/>
      <c r="CAZ21"/>
      <c r="CBA21"/>
      <c r="CBB21"/>
      <c r="CBC21"/>
      <c r="CBD21"/>
      <c r="CBE21"/>
      <c r="CBF21"/>
      <c r="CBG21"/>
      <c r="CBH21"/>
      <c r="CBI21"/>
      <c r="CBJ21"/>
      <c r="CBK21"/>
      <c r="CBL21"/>
      <c r="CBM21"/>
      <c r="CBN21"/>
      <c r="CBO21"/>
      <c r="CBP21"/>
      <c r="CBQ21"/>
      <c r="CBR21"/>
      <c r="CBS21"/>
      <c r="CBT21"/>
      <c r="CBU21"/>
      <c r="CBV21"/>
      <c r="CBW21"/>
      <c r="CBX21"/>
      <c r="CBY21"/>
      <c r="CBZ21"/>
      <c r="CCA21"/>
      <c r="CCB21"/>
      <c r="CCC21"/>
      <c r="CCD21"/>
      <c r="CCE21"/>
      <c r="CCF21"/>
      <c r="CCG21"/>
      <c r="CCH21"/>
      <c r="CCI21"/>
      <c r="CCJ21"/>
      <c r="CCK21"/>
      <c r="CCL21"/>
      <c r="CCM21"/>
      <c r="CCN21"/>
      <c r="CCO21"/>
      <c r="CCP21"/>
      <c r="CCQ21"/>
      <c r="CCR21"/>
      <c r="CCS21"/>
      <c r="CCT21"/>
      <c r="CCU21"/>
      <c r="CCV21"/>
      <c r="CCW21"/>
      <c r="CCX21"/>
      <c r="CCY21"/>
      <c r="CCZ21"/>
      <c r="CDA21"/>
      <c r="CDB21"/>
      <c r="CDC21"/>
      <c r="CDD21"/>
      <c r="CDE21"/>
      <c r="CDF21"/>
      <c r="CDG21"/>
      <c r="CDH21"/>
      <c r="CDI21"/>
      <c r="CDJ21"/>
      <c r="CDK21"/>
      <c r="CDL21"/>
      <c r="CDM21"/>
      <c r="CDN21"/>
      <c r="CDO21"/>
      <c r="CDP21"/>
      <c r="CDQ21"/>
      <c r="CDR21"/>
      <c r="CDS21"/>
      <c r="CDT21"/>
      <c r="CDU21"/>
      <c r="CDV21"/>
      <c r="CDW21"/>
      <c r="CDX21"/>
      <c r="CDY21"/>
      <c r="CDZ21"/>
      <c r="CEA21"/>
      <c r="CEB21"/>
      <c r="CEC21"/>
      <c r="CED21"/>
      <c r="CEE21"/>
      <c r="CEF21"/>
      <c r="CEG21"/>
      <c r="CEH21"/>
      <c r="CEI21"/>
      <c r="CEJ21"/>
      <c r="CEK21"/>
      <c r="CEL21"/>
      <c r="CEM21"/>
      <c r="CEN21"/>
      <c r="CEO21"/>
      <c r="CEP21"/>
      <c r="CEQ21"/>
      <c r="CER21"/>
      <c r="CES21"/>
      <c r="CET21"/>
      <c r="CEU21"/>
      <c r="CEV21"/>
      <c r="CEW21"/>
      <c r="CEX21"/>
      <c r="CEY21"/>
      <c r="CEZ21"/>
      <c r="CFA21"/>
      <c r="CFB21"/>
      <c r="CFC21"/>
      <c r="CFD21"/>
      <c r="CFE21"/>
      <c r="CFF21"/>
      <c r="CFG21"/>
      <c r="CFH21"/>
      <c r="CFI21"/>
      <c r="CFJ21"/>
      <c r="CFK21"/>
      <c r="CFL21"/>
      <c r="CFM21"/>
      <c r="CFN21"/>
      <c r="CFO21"/>
      <c r="CFP21"/>
      <c r="CFQ21"/>
      <c r="CFR21"/>
      <c r="CFS21"/>
      <c r="CFT21"/>
      <c r="CFU21"/>
      <c r="CFV21"/>
      <c r="CFW21"/>
      <c r="CFX21"/>
      <c r="CFY21"/>
      <c r="CFZ21"/>
      <c r="CGA21"/>
      <c r="CGB21"/>
      <c r="CGC21"/>
      <c r="CGD21"/>
      <c r="CGE21"/>
      <c r="CGF21"/>
      <c r="CGG21"/>
      <c r="CGH21"/>
      <c r="CGI21"/>
      <c r="CGJ21"/>
      <c r="CGK21"/>
      <c r="CGL21"/>
      <c r="CGM21"/>
      <c r="CGN21"/>
      <c r="CGO21"/>
      <c r="CGP21"/>
      <c r="CGQ21"/>
      <c r="CGR21"/>
      <c r="CGS21"/>
      <c r="CGT21"/>
      <c r="CGU21"/>
      <c r="CGV21"/>
      <c r="CGW21"/>
      <c r="CGX21"/>
      <c r="CGY21"/>
      <c r="CGZ21"/>
      <c r="CHA21"/>
      <c r="CHB21"/>
      <c r="CHC21"/>
      <c r="CHD21"/>
      <c r="CHE21"/>
      <c r="CHF21"/>
      <c r="CHG21"/>
      <c r="CHH21"/>
      <c r="CHI21"/>
      <c r="CHJ21"/>
      <c r="CHK21"/>
      <c r="CHL21"/>
      <c r="CHM21"/>
      <c r="CHN21"/>
      <c r="CHO21"/>
      <c r="CHP21"/>
      <c r="CHQ21"/>
      <c r="CHR21"/>
      <c r="CHS21"/>
      <c r="CHT21"/>
      <c r="CHU21"/>
      <c r="CHV21"/>
      <c r="CHW21"/>
      <c r="CHX21"/>
      <c r="CHY21"/>
      <c r="CHZ21"/>
      <c r="CIA21"/>
      <c r="CIB21"/>
      <c r="CIC21"/>
      <c r="CID21"/>
      <c r="CIE21"/>
      <c r="CIF21"/>
      <c r="CIG21"/>
      <c r="CIH21"/>
      <c r="CII21"/>
      <c r="CIJ21"/>
      <c r="CIK21"/>
      <c r="CIL21"/>
      <c r="CIM21"/>
      <c r="CIN21"/>
      <c r="CIO21"/>
      <c r="CIP21"/>
      <c r="CIQ21"/>
      <c r="CIR21"/>
      <c r="CIS21"/>
      <c r="CIT21"/>
      <c r="CIU21"/>
      <c r="CIV21"/>
      <c r="CIW21"/>
      <c r="CIX21"/>
      <c r="CIY21"/>
      <c r="CIZ21"/>
      <c r="CJA21"/>
      <c r="CJB21"/>
      <c r="CJC21"/>
      <c r="CJD21"/>
      <c r="CJE21"/>
      <c r="CJF21"/>
      <c r="CJG21"/>
      <c r="CJH21"/>
      <c r="CJI21"/>
      <c r="CJJ21"/>
      <c r="CJK21"/>
      <c r="CJL21"/>
      <c r="CJM21"/>
      <c r="CJN21"/>
      <c r="CJO21"/>
      <c r="CJP21"/>
      <c r="CJQ21"/>
      <c r="CJR21"/>
      <c r="CJS21"/>
      <c r="CJT21"/>
      <c r="CJU21"/>
      <c r="CJV21"/>
      <c r="CJW21"/>
      <c r="CJX21"/>
      <c r="CJY21"/>
      <c r="CJZ21"/>
      <c r="CKA21"/>
      <c r="CKB21"/>
      <c r="CKC21"/>
      <c r="CKD21"/>
      <c r="CKE21"/>
      <c r="CKF21"/>
      <c r="CKG21"/>
      <c r="CKH21"/>
      <c r="CKI21"/>
      <c r="CKJ21"/>
      <c r="CKK21"/>
      <c r="CKL21"/>
      <c r="CKM21"/>
      <c r="CKN21"/>
      <c r="CKO21"/>
      <c r="CKP21"/>
      <c r="CKQ21"/>
      <c r="CKR21"/>
      <c r="CKS21"/>
      <c r="CKT21"/>
      <c r="CKU21"/>
      <c r="CKV21"/>
      <c r="CKW21"/>
      <c r="CKX21"/>
      <c r="CKY21"/>
      <c r="CKZ21"/>
      <c r="CLA21"/>
      <c r="CLB21"/>
      <c r="CLC21"/>
      <c r="CLD21"/>
      <c r="CLE21"/>
      <c r="CLF21"/>
      <c r="CLG21"/>
      <c r="CLH21"/>
      <c r="CLI21"/>
      <c r="CLJ21"/>
      <c r="CLK21"/>
      <c r="CLL21"/>
      <c r="CLM21"/>
      <c r="CLN21"/>
      <c r="CLO21"/>
      <c r="CLP21"/>
      <c r="CLQ21"/>
      <c r="CLR21"/>
      <c r="CLS21"/>
      <c r="CLT21"/>
      <c r="CLU21"/>
      <c r="CLV21"/>
      <c r="CLW21"/>
      <c r="CLX21"/>
      <c r="CLY21"/>
      <c r="CLZ21"/>
      <c r="CMA21"/>
      <c r="CMB21"/>
      <c r="CMC21"/>
      <c r="CMD21"/>
      <c r="CME21"/>
      <c r="CMF21"/>
      <c r="CMG21"/>
      <c r="CMH21"/>
      <c r="CMI21"/>
      <c r="CMJ21"/>
      <c r="CMK21"/>
      <c r="CML21"/>
      <c r="CMM21"/>
      <c r="CMN21"/>
      <c r="CMO21"/>
      <c r="CMP21"/>
      <c r="CMQ21"/>
      <c r="CMR21"/>
      <c r="CMS21"/>
      <c r="CMT21"/>
      <c r="CMU21"/>
      <c r="CMV21"/>
      <c r="CMW21"/>
      <c r="CMX21"/>
      <c r="CMY21"/>
      <c r="CMZ21"/>
      <c r="CNA21"/>
      <c r="CNB21"/>
      <c r="CNC21"/>
      <c r="CND21"/>
      <c r="CNE21"/>
      <c r="CNF21"/>
      <c r="CNG21"/>
      <c r="CNH21"/>
      <c r="CNI21"/>
      <c r="CNJ21"/>
      <c r="CNK21"/>
      <c r="CNL21"/>
      <c r="CNM21"/>
      <c r="CNN21"/>
      <c r="CNO21"/>
      <c r="CNP21"/>
      <c r="CNQ21"/>
      <c r="CNR21"/>
      <c r="CNS21"/>
      <c r="CNT21"/>
      <c r="CNU21"/>
      <c r="CNV21"/>
      <c r="CNW21"/>
      <c r="CNX21"/>
      <c r="CNY21"/>
      <c r="CNZ21"/>
      <c r="COA21"/>
      <c r="COB21"/>
      <c r="COC21"/>
      <c r="COD21"/>
      <c r="COE21"/>
      <c r="COF21"/>
      <c r="COG21"/>
      <c r="COH21"/>
      <c r="COI21"/>
      <c r="COJ21"/>
      <c r="COK21"/>
      <c r="COL21"/>
      <c r="COM21"/>
      <c r="CON21"/>
      <c r="COO21"/>
      <c r="COP21"/>
      <c r="COQ21"/>
      <c r="COR21"/>
      <c r="COS21"/>
      <c r="COT21"/>
      <c r="COU21"/>
      <c r="COV21"/>
      <c r="COW21"/>
      <c r="COX21"/>
      <c r="COY21"/>
      <c r="COZ21"/>
      <c r="CPA21"/>
      <c r="CPB21"/>
      <c r="CPC21"/>
      <c r="CPD21"/>
      <c r="CPE21"/>
      <c r="CPF21"/>
      <c r="CPG21"/>
      <c r="CPH21"/>
      <c r="CPI21"/>
      <c r="CPJ21"/>
      <c r="CPK21"/>
      <c r="CPL21"/>
      <c r="CPM21"/>
      <c r="CPN21"/>
      <c r="CPO21"/>
      <c r="CPP21"/>
      <c r="CPQ21"/>
      <c r="CPR21"/>
      <c r="CPS21"/>
      <c r="CPT21"/>
      <c r="CPU21"/>
      <c r="CPV21"/>
      <c r="CPW21"/>
      <c r="CPX21"/>
      <c r="CPY21"/>
      <c r="CPZ21"/>
      <c r="CQA21"/>
      <c r="CQB21"/>
      <c r="CQC21"/>
      <c r="CQD21"/>
      <c r="CQE21"/>
      <c r="CQF21"/>
      <c r="CQG21"/>
      <c r="CQH21"/>
      <c r="CQI21"/>
      <c r="CQJ21"/>
      <c r="CQK21"/>
      <c r="CQL21"/>
      <c r="CQM21"/>
      <c r="CQN21"/>
      <c r="CQO21"/>
      <c r="CQP21"/>
      <c r="CQQ21"/>
      <c r="CQR21"/>
      <c r="CQS21"/>
      <c r="CQT21"/>
      <c r="CQU21"/>
      <c r="CQV21"/>
      <c r="CQW21"/>
      <c r="CQX21"/>
      <c r="CQY21"/>
      <c r="CQZ21"/>
      <c r="CRA21"/>
      <c r="CRB21"/>
      <c r="CRC21"/>
      <c r="CRD21"/>
      <c r="CRE21"/>
      <c r="CRF21"/>
      <c r="CRG21"/>
      <c r="CRH21"/>
      <c r="CRI21"/>
      <c r="CRJ21"/>
      <c r="CRK21"/>
      <c r="CRL21"/>
      <c r="CRM21"/>
      <c r="CRN21"/>
      <c r="CRO21"/>
      <c r="CRP21"/>
      <c r="CRQ21"/>
      <c r="CRR21"/>
      <c r="CRS21"/>
      <c r="CRT21"/>
      <c r="CRU21"/>
      <c r="CRV21"/>
      <c r="CRW21"/>
      <c r="CRX21"/>
      <c r="CRY21"/>
      <c r="CRZ21"/>
      <c r="CSA21"/>
      <c r="CSB21"/>
      <c r="CSC21"/>
      <c r="CSD21"/>
      <c r="CSE21"/>
      <c r="CSF21"/>
      <c r="CSG21"/>
      <c r="CSH21"/>
      <c r="CSI21"/>
      <c r="CSJ21"/>
      <c r="CSK21"/>
      <c r="CSL21"/>
      <c r="CSM21"/>
      <c r="CSN21"/>
      <c r="CSO21"/>
      <c r="CSP21"/>
      <c r="CSQ21"/>
      <c r="CSR21"/>
      <c r="CSS21"/>
      <c r="CST21"/>
      <c r="CSU21"/>
      <c r="CSV21"/>
      <c r="CSW21"/>
      <c r="CSX21"/>
      <c r="CSY21"/>
      <c r="CSZ21"/>
      <c r="CTA21"/>
      <c r="CTB21"/>
      <c r="CTC21"/>
      <c r="CTD21"/>
      <c r="CTE21"/>
      <c r="CTF21"/>
      <c r="CTG21"/>
      <c r="CTH21"/>
      <c r="CTI21"/>
      <c r="CTJ21"/>
      <c r="CTK21"/>
      <c r="CTL21"/>
      <c r="CTM21"/>
      <c r="CTN21"/>
      <c r="CTO21"/>
      <c r="CTP21"/>
      <c r="CTQ21"/>
      <c r="CTR21"/>
      <c r="CTS21"/>
      <c r="CTT21"/>
      <c r="CTU21"/>
      <c r="CTV21"/>
      <c r="CTW21"/>
      <c r="CTX21"/>
      <c r="CTY21"/>
      <c r="CTZ21"/>
      <c r="CUA21"/>
      <c r="CUB21"/>
      <c r="CUC21"/>
      <c r="CUD21"/>
      <c r="CUE21"/>
      <c r="CUF21"/>
      <c r="CUG21"/>
      <c r="CUH21"/>
      <c r="CUI21"/>
      <c r="CUJ21"/>
      <c r="CUK21"/>
      <c r="CUL21"/>
      <c r="CUM21"/>
      <c r="CUN21"/>
      <c r="CUO21"/>
      <c r="CUP21"/>
      <c r="CUQ21"/>
      <c r="CUR21"/>
      <c r="CUS21"/>
      <c r="CUT21"/>
      <c r="CUU21"/>
      <c r="CUV21"/>
      <c r="CUW21"/>
      <c r="CUX21"/>
      <c r="CUY21"/>
      <c r="CUZ21"/>
      <c r="CVA21"/>
      <c r="CVB21"/>
      <c r="CVC21"/>
      <c r="CVD21"/>
      <c r="CVE21"/>
      <c r="CVF21"/>
      <c r="CVG21"/>
      <c r="CVH21"/>
      <c r="CVI21"/>
      <c r="CVJ21"/>
      <c r="CVK21"/>
      <c r="CVL21"/>
      <c r="CVM21"/>
      <c r="CVN21"/>
      <c r="CVO21"/>
      <c r="CVP21"/>
      <c r="CVQ21"/>
      <c r="CVR21"/>
      <c r="CVS21"/>
      <c r="CVT21"/>
      <c r="CVU21"/>
      <c r="CVV21"/>
      <c r="CVW21"/>
      <c r="CVX21"/>
      <c r="CVY21"/>
      <c r="CVZ21"/>
      <c r="CWA21"/>
      <c r="CWB21"/>
      <c r="CWC21"/>
      <c r="CWD21"/>
      <c r="CWE21"/>
      <c r="CWF21"/>
      <c r="CWG21"/>
      <c r="CWH21"/>
      <c r="CWI21"/>
      <c r="CWJ21"/>
      <c r="CWK21"/>
      <c r="CWL21"/>
      <c r="CWM21"/>
      <c r="CWN21"/>
      <c r="CWO21"/>
      <c r="CWP21"/>
      <c r="CWQ21"/>
      <c r="CWR21"/>
      <c r="CWS21"/>
      <c r="CWT21"/>
      <c r="CWU21"/>
      <c r="CWV21"/>
      <c r="CWW21"/>
      <c r="CWX21"/>
      <c r="CWY21"/>
      <c r="CWZ21"/>
      <c r="CXA21"/>
      <c r="CXB21"/>
      <c r="CXC21"/>
      <c r="CXD21"/>
      <c r="CXE21"/>
      <c r="CXF21"/>
      <c r="CXG21"/>
      <c r="CXH21"/>
      <c r="CXI21"/>
      <c r="CXJ21"/>
      <c r="CXK21"/>
      <c r="CXL21"/>
      <c r="CXM21"/>
      <c r="CXN21"/>
      <c r="CXO21"/>
      <c r="CXP21"/>
      <c r="CXQ21"/>
      <c r="CXR21"/>
      <c r="CXS21"/>
      <c r="CXT21"/>
      <c r="CXU21"/>
      <c r="CXV21"/>
      <c r="CXW21"/>
      <c r="CXX21"/>
      <c r="CXY21"/>
      <c r="CXZ21"/>
      <c r="CYA21"/>
      <c r="CYB21"/>
      <c r="CYC21"/>
      <c r="CYD21"/>
      <c r="CYE21"/>
      <c r="CYF21"/>
      <c r="CYG21"/>
      <c r="CYH21"/>
      <c r="CYI21"/>
      <c r="CYJ21"/>
      <c r="CYK21"/>
      <c r="CYL21"/>
      <c r="CYM21"/>
      <c r="CYN21"/>
      <c r="CYO21"/>
      <c r="CYP21"/>
      <c r="CYQ21"/>
      <c r="CYR21"/>
      <c r="CYS21"/>
      <c r="CYT21"/>
      <c r="CYU21"/>
      <c r="CYV21"/>
      <c r="CYW21"/>
      <c r="CYX21"/>
      <c r="CYY21"/>
      <c r="CYZ21"/>
      <c r="CZA21"/>
      <c r="CZB21"/>
      <c r="CZC21"/>
      <c r="CZD21"/>
      <c r="CZE21"/>
      <c r="CZF21"/>
      <c r="CZG21"/>
      <c r="CZH21"/>
      <c r="CZI21"/>
      <c r="CZJ21"/>
      <c r="CZK21"/>
      <c r="CZL21"/>
      <c r="CZM21"/>
      <c r="CZN21"/>
      <c r="CZO21"/>
      <c r="CZP21"/>
      <c r="CZQ21"/>
      <c r="CZR21"/>
      <c r="CZS21"/>
      <c r="CZT21"/>
      <c r="CZU21"/>
      <c r="CZV21"/>
      <c r="CZW21"/>
      <c r="CZX21"/>
      <c r="CZY21"/>
      <c r="CZZ21"/>
      <c r="DAA21"/>
      <c r="DAB21"/>
      <c r="DAC21"/>
      <c r="DAD21"/>
      <c r="DAE21"/>
      <c r="DAF21"/>
      <c r="DAG21"/>
      <c r="DAH21"/>
      <c r="DAI21"/>
      <c r="DAJ21"/>
      <c r="DAK21"/>
      <c r="DAL21"/>
      <c r="DAM21"/>
      <c r="DAN21"/>
      <c r="DAO21"/>
      <c r="DAP21"/>
      <c r="DAQ21"/>
      <c r="DAR21"/>
      <c r="DAS21"/>
      <c r="DAT21"/>
      <c r="DAU21"/>
      <c r="DAV21"/>
      <c r="DAW21"/>
      <c r="DAX21"/>
      <c r="DAY21"/>
      <c r="DAZ21"/>
      <c r="DBA21"/>
      <c r="DBB21"/>
      <c r="DBC21"/>
      <c r="DBD21"/>
      <c r="DBE21"/>
      <c r="DBF21"/>
      <c r="DBG21"/>
      <c r="DBH21"/>
      <c r="DBI21"/>
      <c r="DBJ21"/>
      <c r="DBK21"/>
      <c r="DBL21"/>
      <c r="DBM21"/>
      <c r="DBN21"/>
      <c r="DBO21"/>
      <c r="DBP21"/>
      <c r="DBQ21"/>
      <c r="DBR21"/>
      <c r="DBS21"/>
      <c r="DBT21"/>
      <c r="DBU21"/>
      <c r="DBV21"/>
      <c r="DBW21"/>
      <c r="DBX21"/>
      <c r="DBY21"/>
      <c r="DBZ21"/>
      <c r="DCA21"/>
      <c r="DCB21"/>
      <c r="DCC21"/>
      <c r="DCD21"/>
      <c r="DCE21"/>
      <c r="DCF21"/>
      <c r="DCG21"/>
      <c r="DCH21"/>
      <c r="DCI21"/>
      <c r="DCJ21"/>
      <c r="DCK21"/>
      <c r="DCL21"/>
      <c r="DCM21"/>
      <c r="DCN21"/>
      <c r="DCO21"/>
      <c r="DCP21"/>
      <c r="DCQ21"/>
      <c r="DCR21"/>
      <c r="DCS21"/>
      <c r="DCT21"/>
      <c r="DCU21"/>
      <c r="DCV21"/>
      <c r="DCW21"/>
      <c r="DCX21"/>
      <c r="DCY21"/>
      <c r="DCZ21"/>
      <c r="DDA21"/>
      <c r="DDB21"/>
      <c r="DDC21"/>
      <c r="DDD21"/>
      <c r="DDE21"/>
      <c r="DDF21"/>
      <c r="DDG21"/>
      <c r="DDH21"/>
      <c r="DDI21"/>
      <c r="DDJ21"/>
      <c r="DDK21"/>
      <c r="DDL21"/>
      <c r="DDM21"/>
      <c r="DDN21"/>
      <c r="DDO21"/>
      <c r="DDP21"/>
      <c r="DDQ21"/>
      <c r="DDR21"/>
      <c r="DDS21"/>
      <c r="DDT21"/>
      <c r="DDU21"/>
      <c r="DDV21"/>
      <c r="DDW21"/>
      <c r="DDX21"/>
      <c r="DDY21"/>
      <c r="DDZ21"/>
      <c r="DEA21"/>
      <c r="DEB21"/>
      <c r="DEC21"/>
      <c r="DED21"/>
      <c r="DEE21"/>
      <c r="DEF21"/>
      <c r="DEG21"/>
      <c r="DEH21"/>
      <c r="DEI21"/>
      <c r="DEJ21"/>
      <c r="DEK21"/>
      <c r="DEL21"/>
      <c r="DEM21"/>
      <c r="DEN21"/>
      <c r="DEO21"/>
      <c r="DEP21"/>
      <c r="DEQ21"/>
      <c r="DER21"/>
      <c r="DES21"/>
      <c r="DET21"/>
      <c r="DEU21"/>
      <c r="DEV21"/>
      <c r="DEW21"/>
      <c r="DEX21"/>
      <c r="DEY21"/>
      <c r="DEZ21"/>
      <c r="DFA21"/>
      <c r="DFB21"/>
      <c r="DFC21"/>
      <c r="DFD21"/>
      <c r="DFE21"/>
      <c r="DFF21"/>
      <c r="DFG21"/>
      <c r="DFH21"/>
      <c r="DFI21"/>
      <c r="DFJ21"/>
      <c r="DFK21"/>
      <c r="DFL21"/>
      <c r="DFM21"/>
      <c r="DFN21"/>
      <c r="DFO21"/>
      <c r="DFP21"/>
      <c r="DFQ21"/>
      <c r="DFR21"/>
      <c r="DFS21"/>
      <c r="DFT21"/>
      <c r="DFU21"/>
      <c r="DFV21"/>
      <c r="DFW21"/>
      <c r="DFX21"/>
      <c r="DFY21"/>
      <c r="DFZ21"/>
      <c r="DGA21"/>
      <c r="DGB21"/>
      <c r="DGC21"/>
      <c r="DGD21"/>
      <c r="DGE21"/>
      <c r="DGF21"/>
      <c r="DGG21"/>
      <c r="DGH21"/>
      <c r="DGI21"/>
      <c r="DGJ21"/>
      <c r="DGK21"/>
      <c r="DGL21"/>
      <c r="DGM21"/>
      <c r="DGN21"/>
      <c r="DGO21"/>
      <c r="DGP21"/>
      <c r="DGQ21"/>
      <c r="DGR21"/>
      <c r="DGS21"/>
      <c r="DGT21"/>
      <c r="DGU21"/>
      <c r="DGV21"/>
      <c r="DGW21"/>
      <c r="DGX21"/>
      <c r="DGY21"/>
      <c r="DGZ21"/>
      <c r="DHA21"/>
      <c r="DHB21"/>
      <c r="DHC21"/>
      <c r="DHD21"/>
      <c r="DHE21"/>
      <c r="DHF21"/>
      <c r="DHG21"/>
      <c r="DHH21"/>
      <c r="DHI21"/>
      <c r="DHJ21"/>
      <c r="DHK21"/>
      <c r="DHL21"/>
      <c r="DHM21"/>
      <c r="DHN21"/>
      <c r="DHO21"/>
      <c r="DHP21"/>
      <c r="DHQ21"/>
      <c r="DHR21"/>
      <c r="DHS21"/>
      <c r="DHT21"/>
      <c r="DHU21"/>
      <c r="DHV21"/>
      <c r="DHW21"/>
      <c r="DHX21"/>
      <c r="DHY21"/>
      <c r="DHZ21"/>
      <c r="DIA21"/>
      <c r="DIB21"/>
      <c r="DIC21"/>
      <c r="DID21"/>
      <c r="DIE21"/>
      <c r="DIF21"/>
      <c r="DIG21"/>
      <c r="DIH21"/>
      <c r="DII21"/>
      <c r="DIJ21"/>
      <c r="DIK21"/>
      <c r="DIL21"/>
      <c r="DIM21"/>
      <c r="DIN21"/>
      <c r="DIO21"/>
      <c r="DIP21"/>
      <c r="DIQ21"/>
      <c r="DIR21"/>
      <c r="DIS21"/>
      <c r="DIT21"/>
      <c r="DIU21"/>
      <c r="DIV21"/>
      <c r="DIW21"/>
      <c r="DIX21"/>
      <c r="DIY21"/>
      <c r="DIZ21"/>
      <c r="DJA21"/>
      <c r="DJB21"/>
      <c r="DJC21"/>
      <c r="DJD21"/>
      <c r="DJE21"/>
      <c r="DJF21"/>
      <c r="DJG21"/>
      <c r="DJH21"/>
      <c r="DJI21"/>
      <c r="DJJ21"/>
      <c r="DJK21"/>
      <c r="DJL21"/>
      <c r="DJM21"/>
      <c r="DJN21"/>
      <c r="DJO21"/>
      <c r="DJP21"/>
      <c r="DJQ21"/>
      <c r="DJR21"/>
      <c r="DJS21"/>
      <c r="DJT21"/>
      <c r="DJU21"/>
      <c r="DJV21"/>
      <c r="DJW21"/>
      <c r="DJX21"/>
      <c r="DJY21"/>
      <c r="DJZ21"/>
      <c r="DKA21"/>
      <c r="DKB21"/>
      <c r="DKC21"/>
      <c r="DKD21"/>
      <c r="DKE21"/>
      <c r="DKF21"/>
      <c r="DKG21"/>
      <c r="DKH21"/>
      <c r="DKI21"/>
      <c r="DKJ21"/>
      <c r="DKK21"/>
      <c r="DKL21"/>
      <c r="DKM21"/>
      <c r="DKN21"/>
      <c r="DKO21"/>
      <c r="DKP21"/>
      <c r="DKQ21"/>
      <c r="DKR21"/>
      <c r="DKS21"/>
      <c r="DKT21"/>
      <c r="DKU21"/>
      <c r="DKV21"/>
      <c r="DKW21"/>
      <c r="DKX21"/>
      <c r="DKY21"/>
      <c r="DKZ21"/>
      <c r="DLA21"/>
      <c r="DLB21"/>
      <c r="DLC21"/>
      <c r="DLD21"/>
      <c r="DLE21"/>
      <c r="DLF21"/>
      <c r="DLG21"/>
      <c r="DLH21"/>
      <c r="DLI21"/>
      <c r="DLJ21"/>
      <c r="DLK21"/>
      <c r="DLL21"/>
      <c r="DLM21"/>
      <c r="DLN21"/>
      <c r="DLO21"/>
      <c r="DLP21"/>
      <c r="DLQ21"/>
      <c r="DLR21"/>
      <c r="DLS21"/>
      <c r="DLT21"/>
      <c r="DLU21"/>
      <c r="DLV21"/>
      <c r="DLW21"/>
      <c r="DLX21"/>
      <c r="DLY21"/>
      <c r="DLZ21"/>
      <c r="DMA21"/>
      <c r="DMB21"/>
      <c r="DMC21"/>
      <c r="DMD21"/>
      <c r="DME21"/>
      <c r="DMF21"/>
      <c r="DMG21"/>
      <c r="DMH21"/>
      <c r="DMI21"/>
      <c r="DMJ21"/>
      <c r="DMK21"/>
      <c r="DML21"/>
      <c r="DMM21"/>
      <c r="DMN21"/>
      <c r="DMO21"/>
      <c r="DMP21"/>
      <c r="DMQ21"/>
      <c r="DMR21"/>
      <c r="DMS21"/>
      <c r="DMT21"/>
      <c r="DMU21"/>
      <c r="DMV21"/>
      <c r="DMW21"/>
      <c r="DMX21"/>
      <c r="DMY21"/>
      <c r="DMZ21"/>
      <c r="DNA21"/>
      <c r="DNB21"/>
      <c r="DNC21"/>
      <c r="DND21"/>
      <c r="DNE21"/>
      <c r="DNF21"/>
      <c r="DNG21"/>
      <c r="DNH21"/>
      <c r="DNI21"/>
      <c r="DNJ21"/>
      <c r="DNK21"/>
      <c r="DNL21"/>
      <c r="DNM21"/>
      <c r="DNN21"/>
      <c r="DNO21"/>
      <c r="DNP21"/>
      <c r="DNQ21"/>
      <c r="DNR21"/>
      <c r="DNS21"/>
      <c r="DNT21"/>
      <c r="DNU21"/>
      <c r="DNV21"/>
      <c r="DNW21"/>
      <c r="DNX21"/>
      <c r="DNY21"/>
      <c r="DNZ21"/>
      <c r="DOA21"/>
      <c r="DOB21"/>
      <c r="DOC21"/>
      <c r="DOD21"/>
      <c r="DOE21"/>
      <c r="DOF21"/>
      <c r="DOG21"/>
      <c r="DOH21"/>
      <c r="DOI21"/>
      <c r="DOJ21"/>
      <c r="DOK21"/>
      <c r="DOL21"/>
      <c r="DOM21"/>
      <c r="DON21"/>
      <c r="DOO21"/>
      <c r="DOP21"/>
      <c r="DOQ21"/>
      <c r="DOR21"/>
      <c r="DOS21"/>
      <c r="DOT21"/>
      <c r="DOU21"/>
      <c r="DOV21"/>
      <c r="DOW21"/>
      <c r="DOX21"/>
      <c r="DOY21"/>
      <c r="DOZ21"/>
      <c r="DPA21"/>
      <c r="DPB21"/>
      <c r="DPC21"/>
      <c r="DPD21"/>
      <c r="DPE21"/>
      <c r="DPF21"/>
      <c r="DPG21"/>
      <c r="DPH21"/>
      <c r="DPI21"/>
      <c r="DPJ21"/>
      <c r="DPK21"/>
      <c r="DPL21"/>
      <c r="DPM21"/>
      <c r="DPN21"/>
      <c r="DPO21"/>
      <c r="DPP21"/>
      <c r="DPQ21"/>
      <c r="DPR21"/>
      <c r="DPS21"/>
      <c r="DPT21"/>
      <c r="DPU21"/>
      <c r="DPV21"/>
      <c r="DPW21"/>
      <c r="DPX21"/>
      <c r="DPY21"/>
      <c r="DPZ21"/>
      <c r="DQA21"/>
      <c r="DQB21"/>
      <c r="DQC21"/>
      <c r="DQD21"/>
      <c r="DQE21"/>
      <c r="DQF21"/>
      <c r="DQG21"/>
      <c r="DQH21"/>
      <c r="DQI21"/>
      <c r="DQJ21"/>
      <c r="DQK21"/>
      <c r="DQL21"/>
      <c r="DQM21"/>
      <c r="DQN21"/>
      <c r="DQO21"/>
      <c r="DQP21"/>
      <c r="DQQ21"/>
      <c r="DQR21"/>
      <c r="DQS21"/>
      <c r="DQT21"/>
      <c r="DQU21"/>
      <c r="DQV21"/>
      <c r="DQW21"/>
      <c r="DQX21"/>
      <c r="DQY21"/>
      <c r="DQZ21"/>
      <c r="DRA21"/>
      <c r="DRB21"/>
      <c r="DRC21"/>
      <c r="DRD21"/>
      <c r="DRE21"/>
      <c r="DRF21"/>
      <c r="DRG21"/>
      <c r="DRH21"/>
      <c r="DRI21"/>
      <c r="DRJ21"/>
      <c r="DRK21"/>
      <c r="DRL21"/>
      <c r="DRM21"/>
      <c r="DRN21"/>
      <c r="DRO21"/>
      <c r="DRP21"/>
      <c r="DRQ21"/>
      <c r="DRR21"/>
      <c r="DRS21"/>
      <c r="DRT21"/>
      <c r="DRU21"/>
      <c r="DRV21"/>
      <c r="DRW21"/>
      <c r="DRX21"/>
      <c r="DRY21"/>
      <c r="DRZ21"/>
      <c r="DSA21"/>
      <c r="DSB21"/>
      <c r="DSC21"/>
      <c r="DSD21"/>
      <c r="DSE21"/>
      <c r="DSF21"/>
      <c r="DSG21"/>
      <c r="DSH21"/>
      <c r="DSI21"/>
      <c r="DSJ21"/>
      <c r="DSK21"/>
      <c r="DSL21"/>
      <c r="DSM21"/>
      <c r="DSN21"/>
      <c r="DSO21"/>
      <c r="DSP21"/>
      <c r="DSQ21"/>
      <c r="DSR21"/>
      <c r="DSS21"/>
      <c r="DST21"/>
      <c r="DSU21"/>
      <c r="DSV21"/>
      <c r="DSW21"/>
      <c r="DSX21"/>
      <c r="DSY21"/>
      <c r="DSZ21"/>
      <c r="DTA21"/>
      <c r="DTB21"/>
      <c r="DTC21"/>
      <c r="DTD21"/>
      <c r="DTE21"/>
      <c r="DTF21"/>
      <c r="DTG21"/>
      <c r="DTH21"/>
      <c r="DTI21"/>
      <c r="DTJ21"/>
      <c r="DTK21"/>
      <c r="DTL21"/>
      <c r="DTM21"/>
      <c r="DTN21"/>
      <c r="DTO21"/>
      <c r="DTP21"/>
      <c r="DTQ21"/>
      <c r="DTR21"/>
      <c r="DTS21"/>
      <c r="DTT21"/>
      <c r="DTU21"/>
      <c r="DTV21"/>
      <c r="DTW21"/>
      <c r="DTX21"/>
      <c r="DTY21"/>
      <c r="DTZ21"/>
      <c r="DUA21"/>
      <c r="DUB21"/>
      <c r="DUC21"/>
      <c r="DUD21"/>
      <c r="DUE21"/>
      <c r="DUF21"/>
      <c r="DUG21"/>
      <c r="DUH21"/>
      <c r="DUI21"/>
      <c r="DUJ21"/>
      <c r="DUK21"/>
      <c r="DUL21"/>
      <c r="DUM21"/>
      <c r="DUN21"/>
      <c r="DUO21"/>
      <c r="DUP21"/>
      <c r="DUQ21"/>
      <c r="DUR21"/>
      <c r="DUS21"/>
      <c r="DUT21"/>
      <c r="DUU21"/>
      <c r="DUV21"/>
      <c r="DUW21"/>
      <c r="DUX21"/>
      <c r="DUY21"/>
      <c r="DUZ21"/>
      <c r="DVA21"/>
      <c r="DVB21"/>
      <c r="DVC21"/>
      <c r="DVD21"/>
      <c r="DVE21"/>
      <c r="DVF21"/>
      <c r="DVG21"/>
      <c r="DVH21"/>
      <c r="DVI21"/>
      <c r="DVJ21"/>
      <c r="DVK21"/>
      <c r="DVL21"/>
      <c r="DVM21"/>
      <c r="DVN21"/>
      <c r="DVO21"/>
      <c r="DVP21"/>
      <c r="DVQ21"/>
      <c r="DVR21"/>
      <c r="DVS21"/>
      <c r="DVT21"/>
      <c r="DVU21"/>
      <c r="DVV21"/>
      <c r="DVW21"/>
      <c r="DVX21"/>
      <c r="DVY21"/>
      <c r="DVZ21"/>
      <c r="DWA21"/>
      <c r="DWB21"/>
      <c r="DWC21"/>
      <c r="DWD21"/>
      <c r="DWE21"/>
      <c r="DWF21"/>
      <c r="DWG21"/>
      <c r="DWH21"/>
      <c r="DWI21"/>
      <c r="DWJ21"/>
      <c r="DWK21"/>
      <c r="DWL21"/>
      <c r="DWM21"/>
      <c r="DWN21"/>
      <c r="DWO21"/>
      <c r="DWP21"/>
      <c r="DWQ21"/>
      <c r="DWR21"/>
      <c r="DWS21"/>
      <c r="DWT21"/>
      <c r="DWU21"/>
      <c r="DWV21"/>
      <c r="DWW21"/>
      <c r="DWX21"/>
      <c r="DWY21"/>
      <c r="DWZ21"/>
      <c r="DXA21"/>
      <c r="DXB21"/>
      <c r="DXC21"/>
      <c r="DXD21"/>
      <c r="DXE21"/>
      <c r="DXF21"/>
      <c r="DXG21"/>
      <c r="DXH21"/>
      <c r="DXI21"/>
      <c r="DXJ21"/>
      <c r="DXK21"/>
      <c r="DXL21"/>
      <c r="DXM21"/>
      <c r="DXN21"/>
      <c r="DXO21"/>
      <c r="DXP21"/>
      <c r="DXQ21"/>
      <c r="DXR21"/>
      <c r="DXS21"/>
      <c r="DXT21"/>
      <c r="DXU21"/>
      <c r="DXV21"/>
      <c r="DXW21"/>
      <c r="DXX21"/>
      <c r="DXY21"/>
      <c r="DXZ21"/>
      <c r="DYA21"/>
      <c r="DYB21"/>
      <c r="DYC21"/>
      <c r="DYD21"/>
      <c r="DYE21"/>
      <c r="DYF21"/>
      <c r="DYG21"/>
      <c r="DYH21"/>
      <c r="DYI21"/>
      <c r="DYJ21"/>
      <c r="DYK21"/>
      <c r="DYL21"/>
      <c r="DYM21"/>
      <c r="DYN21"/>
      <c r="DYO21"/>
      <c r="DYP21"/>
      <c r="DYQ21"/>
      <c r="DYR21"/>
      <c r="DYS21"/>
      <c r="DYT21"/>
      <c r="DYU21"/>
      <c r="DYV21"/>
      <c r="DYW21"/>
      <c r="DYX21"/>
      <c r="DYY21"/>
      <c r="DYZ21"/>
      <c r="DZA21"/>
      <c r="DZB21"/>
      <c r="DZC21"/>
      <c r="DZD21"/>
      <c r="DZE21"/>
      <c r="DZF21"/>
      <c r="DZG21"/>
      <c r="DZH21"/>
      <c r="DZI21"/>
      <c r="DZJ21"/>
      <c r="DZK21"/>
      <c r="DZL21"/>
      <c r="DZM21"/>
      <c r="DZN21"/>
      <c r="DZO21"/>
      <c r="DZP21"/>
      <c r="DZQ21"/>
      <c r="DZR21"/>
      <c r="DZS21"/>
      <c r="DZT21"/>
      <c r="DZU21"/>
      <c r="DZV21"/>
      <c r="DZW21"/>
      <c r="DZX21"/>
      <c r="DZY21"/>
      <c r="DZZ21"/>
      <c r="EAA21"/>
      <c r="EAB21"/>
      <c r="EAC21"/>
      <c r="EAD21"/>
      <c r="EAE21"/>
      <c r="EAF21"/>
      <c r="EAG21"/>
      <c r="EAH21"/>
      <c r="EAI21"/>
      <c r="EAJ21"/>
      <c r="EAK21"/>
      <c r="EAL21"/>
      <c r="EAM21"/>
      <c r="EAN21"/>
      <c r="EAO21"/>
      <c r="EAP21"/>
      <c r="EAQ21"/>
      <c r="EAR21"/>
      <c r="EAS21"/>
      <c r="EAT21"/>
      <c r="EAU21"/>
      <c r="EAV21"/>
      <c r="EAW21"/>
      <c r="EAX21"/>
      <c r="EAY21"/>
      <c r="EAZ21"/>
      <c r="EBA21"/>
      <c r="EBB21"/>
      <c r="EBC21"/>
      <c r="EBD21"/>
      <c r="EBE21"/>
      <c r="EBF21"/>
      <c r="EBG21"/>
      <c r="EBH21"/>
      <c r="EBI21"/>
      <c r="EBJ21"/>
      <c r="EBK21"/>
      <c r="EBL21"/>
      <c r="EBM21"/>
      <c r="EBN21"/>
      <c r="EBO21"/>
      <c r="EBP21"/>
      <c r="EBQ21"/>
      <c r="EBR21"/>
      <c r="EBS21"/>
      <c r="EBT21"/>
      <c r="EBU21"/>
      <c r="EBV21"/>
      <c r="EBW21"/>
      <c r="EBX21"/>
      <c r="EBY21"/>
      <c r="EBZ21"/>
      <c r="ECA21"/>
      <c r="ECB21"/>
      <c r="ECC21"/>
      <c r="ECD21"/>
      <c r="ECE21"/>
      <c r="ECF21"/>
      <c r="ECG21"/>
      <c r="ECH21"/>
      <c r="ECI21"/>
      <c r="ECJ21"/>
      <c r="ECK21"/>
      <c r="ECL21"/>
      <c r="ECM21"/>
      <c r="ECN21"/>
      <c r="ECO21"/>
      <c r="ECP21"/>
      <c r="ECQ21"/>
      <c r="ECR21"/>
      <c r="ECS21"/>
      <c r="ECT21"/>
      <c r="ECU21"/>
      <c r="ECV21"/>
      <c r="ECW21"/>
      <c r="ECX21"/>
      <c r="ECY21"/>
      <c r="ECZ21"/>
      <c r="EDA21"/>
      <c r="EDB21"/>
      <c r="EDC21"/>
      <c r="EDD21"/>
      <c r="EDE21"/>
      <c r="EDF21"/>
      <c r="EDG21"/>
      <c r="EDH21"/>
      <c r="EDI21"/>
      <c r="EDJ21"/>
      <c r="EDK21"/>
      <c r="EDL21"/>
      <c r="EDM21"/>
      <c r="EDN21"/>
      <c r="EDO21"/>
      <c r="EDP21"/>
      <c r="EDQ21"/>
      <c r="EDR21"/>
      <c r="EDS21"/>
      <c r="EDT21"/>
      <c r="EDU21"/>
      <c r="EDV21"/>
      <c r="EDW21"/>
      <c r="EDX21"/>
      <c r="EDY21"/>
      <c r="EDZ21"/>
      <c r="EEA21"/>
      <c r="EEB21"/>
      <c r="EEC21"/>
      <c r="EED21"/>
      <c r="EEE21"/>
      <c r="EEF21"/>
      <c r="EEG21"/>
      <c r="EEH21"/>
      <c r="EEI21"/>
      <c r="EEJ21"/>
      <c r="EEK21"/>
      <c r="EEL21"/>
      <c r="EEM21"/>
      <c r="EEN21"/>
      <c r="EEO21"/>
      <c r="EEP21"/>
      <c r="EEQ21"/>
      <c r="EER21"/>
      <c r="EES21"/>
      <c r="EET21"/>
      <c r="EEU21"/>
      <c r="EEV21"/>
      <c r="EEW21"/>
      <c r="EEX21"/>
      <c r="EEY21"/>
      <c r="EEZ21"/>
      <c r="EFA21"/>
      <c r="EFB21"/>
      <c r="EFC21"/>
      <c r="EFD21"/>
      <c r="EFE21"/>
      <c r="EFF21"/>
      <c r="EFG21"/>
      <c r="EFH21"/>
      <c r="EFI21"/>
      <c r="EFJ21"/>
      <c r="EFK21"/>
      <c r="EFL21"/>
      <c r="EFM21"/>
      <c r="EFN21"/>
      <c r="EFO21"/>
      <c r="EFP21"/>
      <c r="EFQ21"/>
      <c r="EFR21"/>
      <c r="EFS21"/>
      <c r="EFT21"/>
      <c r="EFU21"/>
      <c r="EFV21"/>
      <c r="EFW21"/>
      <c r="EFX21"/>
      <c r="EFY21"/>
      <c r="EFZ21"/>
      <c r="EGA21"/>
      <c r="EGB21"/>
      <c r="EGC21"/>
      <c r="EGD21"/>
      <c r="EGE21"/>
      <c r="EGF21"/>
      <c r="EGG21"/>
      <c r="EGH21"/>
      <c r="EGI21"/>
      <c r="EGJ21"/>
      <c r="EGK21"/>
      <c r="EGL21"/>
      <c r="EGM21"/>
      <c r="EGN21"/>
      <c r="EGO21"/>
      <c r="EGP21"/>
      <c r="EGQ21"/>
      <c r="EGR21"/>
      <c r="EGS21"/>
      <c r="EGT21"/>
      <c r="EGU21"/>
      <c r="EGV21"/>
      <c r="EGW21"/>
      <c r="EGX21"/>
      <c r="EGY21"/>
      <c r="EGZ21"/>
      <c r="EHA21"/>
      <c r="EHB21"/>
      <c r="EHC21"/>
      <c r="EHD21"/>
      <c r="EHE21"/>
      <c r="EHF21"/>
      <c r="EHG21"/>
      <c r="EHH21"/>
      <c r="EHI21"/>
      <c r="EHJ21"/>
      <c r="EHK21"/>
      <c r="EHL21"/>
      <c r="EHM21"/>
      <c r="EHN21"/>
      <c r="EHO21"/>
      <c r="EHP21"/>
      <c r="EHQ21"/>
      <c r="EHR21"/>
      <c r="EHS21"/>
      <c r="EHT21"/>
      <c r="EHU21"/>
      <c r="EHV21"/>
      <c r="EHW21"/>
      <c r="EHX21"/>
      <c r="EHY21"/>
      <c r="EHZ21"/>
      <c r="EIA21"/>
      <c r="EIB21"/>
      <c r="EIC21"/>
      <c r="EID21"/>
      <c r="EIE21"/>
      <c r="EIF21"/>
      <c r="EIG21"/>
      <c r="EIH21"/>
      <c r="EII21"/>
      <c r="EIJ21"/>
      <c r="EIK21"/>
      <c r="EIL21"/>
      <c r="EIM21"/>
      <c r="EIN21"/>
      <c r="EIO21"/>
      <c r="EIP21"/>
      <c r="EIQ21"/>
      <c r="EIR21"/>
      <c r="EIS21"/>
      <c r="EIT21"/>
      <c r="EIU21"/>
      <c r="EIV21"/>
      <c r="EIW21"/>
      <c r="EIX21"/>
      <c r="EIY21"/>
      <c r="EIZ21"/>
      <c r="EJA21"/>
      <c r="EJB21"/>
      <c r="EJC21"/>
      <c r="EJD21"/>
      <c r="EJE21"/>
      <c r="EJF21"/>
      <c r="EJG21"/>
      <c r="EJH21"/>
      <c r="EJI21"/>
      <c r="EJJ21"/>
      <c r="EJK21"/>
      <c r="EJL21"/>
      <c r="EJM21"/>
      <c r="EJN21"/>
      <c r="EJO21"/>
      <c r="EJP21"/>
      <c r="EJQ21"/>
      <c r="EJR21"/>
      <c r="EJS21"/>
      <c r="EJT21"/>
      <c r="EJU21"/>
      <c r="EJV21"/>
      <c r="EJW21"/>
      <c r="EJX21"/>
      <c r="EJY21"/>
      <c r="EJZ21"/>
      <c r="EKA21"/>
      <c r="EKB21"/>
      <c r="EKC21"/>
      <c r="EKD21"/>
      <c r="EKE21"/>
      <c r="EKF21"/>
      <c r="EKG21"/>
      <c r="EKH21"/>
      <c r="EKI21"/>
      <c r="EKJ21"/>
      <c r="EKK21"/>
      <c r="EKL21"/>
      <c r="EKM21"/>
      <c r="EKN21"/>
      <c r="EKO21"/>
      <c r="EKP21"/>
      <c r="EKQ21"/>
      <c r="EKR21"/>
      <c r="EKS21"/>
      <c r="EKT21"/>
      <c r="EKU21"/>
      <c r="EKV21"/>
      <c r="EKW21"/>
      <c r="EKX21"/>
      <c r="EKY21"/>
      <c r="EKZ21"/>
      <c r="ELA21"/>
      <c r="ELB21"/>
      <c r="ELC21"/>
      <c r="ELD21"/>
      <c r="ELE21"/>
      <c r="ELF21"/>
      <c r="ELG21"/>
      <c r="ELH21"/>
      <c r="ELI21"/>
      <c r="ELJ21"/>
      <c r="ELK21"/>
      <c r="ELL21"/>
      <c r="ELM21"/>
      <c r="ELN21"/>
      <c r="ELO21"/>
      <c r="ELP21"/>
      <c r="ELQ21"/>
      <c r="ELR21"/>
      <c r="ELS21"/>
      <c r="ELT21"/>
      <c r="ELU21"/>
      <c r="ELV21"/>
      <c r="ELW21"/>
      <c r="ELX21"/>
      <c r="ELY21"/>
      <c r="ELZ21"/>
      <c r="EMA21"/>
      <c r="EMB21"/>
      <c r="EMC21"/>
      <c r="EMD21"/>
      <c r="EME21"/>
      <c r="EMF21"/>
      <c r="EMG21"/>
      <c r="EMH21"/>
      <c r="EMI21"/>
      <c r="EMJ21"/>
      <c r="EMK21"/>
      <c r="EML21"/>
      <c r="EMM21"/>
      <c r="EMN21"/>
      <c r="EMO21"/>
      <c r="EMP21"/>
      <c r="EMQ21"/>
      <c r="EMR21"/>
      <c r="EMS21"/>
      <c r="EMT21"/>
      <c r="EMU21"/>
      <c r="EMV21"/>
      <c r="EMW21"/>
      <c r="EMX21"/>
      <c r="EMY21"/>
      <c r="EMZ21"/>
      <c r="ENA21"/>
      <c r="ENB21"/>
      <c r="ENC21"/>
      <c r="END21"/>
      <c r="ENE21"/>
      <c r="ENF21"/>
      <c r="ENG21"/>
      <c r="ENH21"/>
      <c r="ENI21"/>
      <c r="ENJ21"/>
      <c r="ENK21"/>
      <c r="ENL21"/>
      <c r="ENM21"/>
      <c r="ENN21"/>
      <c r="ENO21"/>
      <c r="ENP21"/>
      <c r="ENQ21"/>
      <c r="ENR21"/>
      <c r="ENS21"/>
      <c r="ENT21"/>
      <c r="ENU21"/>
      <c r="ENV21"/>
      <c r="ENW21"/>
      <c r="ENX21"/>
      <c r="ENY21"/>
      <c r="ENZ21"/>
      <c r="EOA21"/>
      <c r="EOB21"/>
      <c r="EOC21"/>
      <c r="EOD21"/>
      <c r="EOE21"/>
      <c r="EOF21"/>
      <c r="EOG21"/>
      <c r="EOH21"/>
      <c r="EOI21"/>
      <c r="EOJ21"/>
      <c r="EOK21"/>
      <c r="EOL21"/>
      <c r="EOM21"/>
      <c r="EON21"/>
      <c r="EOO21"/>
      <c r="EOP21"/>
      <c r="EOQ21"/>
      <c r="EOR21"/>
      <c r="EOS21"/>
      <c r="EOT21"/>
      <c r="EOU21"/>
      <c r="EOV21"/>
      <c r="EOW21"/>
      <c r="EOX21"/>
      <c r="EOY21"/>
      <c r="EOZ21"/>
      <c r="EPA21"/>
      <c r="EPB21"/>
      <c r="EPC21"/>
      <c r="EPD21"/>
      <c r="EPE21"/>
      <c r="EPF21"/>
      <c r="EPG21"/>
      <c r="EPH21"/>
      <c r="EPI21"/>
      <c r="EPJ21"/>
      <c r="EPK21"/>
      <c r="EPL21"/>
      <c r="EPM21"/>
      <c r="EPN21"/>
      <c r="EPO21"/>
      <c r="EPP21"/>
      <c r="EPQ21"/>
      <c r="EPR21"/>
      <c r="EPS21"/>
      <c r="EPT21"/>
      <c r="EPU21"/>
      <c r="EPV21"/>
      <c r="EPW21"/>
      <c r="EPX21"/>
      <c r="EPY21"/>
      <c r="EPZ21"/>
      <c r="EQA21"/>
      <c r="EQB21"/>
      <c r="EQC21"/>
      <c r="EQD21"/>
      <c r="EQE21"/>
      <c r="EQF21"/>
      <c r="EQG21"/>
      <c r="EQH21"/>
      <c r="EQI21"/>
      <c r="EQJ21"/>
      <c r="EQK21"/>
      <c r="EQL21"/>
      <c r="EQM21"/>
      <c r="EQN21"/>
      <c r="EQO21"/>
      <c r="EQP21"/>
      <c r="EQQ21"/>
      <c r="EQR21"/>
      <c r="EQS21"/>
      <c r="EQT21"/>
      <c r="EQU21"/>
      <c r="EQV21"/>
      <c r="EQW21"/>
      <c r="EQX21"/>
      <c r="EQY21"/>
      <c r="EQZ21"/>
      <c r="ERA21"/>
      <c r="ERB21"/>
      <c r="ERC21"/>
      <c r="ERD21"/>
      <c r="ERE21"/>
      <c r="ERF21"/>
      <c r="ERG21"/>
      <c r="ERH21"/>
      <c r="ERI21"/>
      <c r="ERJ21"/>
      <c r="ERK21"/>
      <c r="ERL21"/>
      <c r="ERM21"/>
      <c r="ERN21"/>
      <c r="ERO21"/>
      <c r="ERP21"/>
      <c r="ERQ21"/>
      <c r="ERR21"/>
      <c r="ERS21"/>
      <c r="ERT21"/>
      <c r="ERU21"/>
      <c r="ERV21"/>
      <c r="ERW21"/>
      <c r="ERX21"/>
      <c r="ERY21"/>
      <c r="ERZ21"/>
      <c r="ESA21"/>
      <c r="ESB21"/>
      <c r="ESC21"/>
      <c r="ESD21"/>
      <c r="ESE21"/>
      <c r="ESF21"/>
      <c r="ESG21"/>
      <c r="ESH21"/>
      <c r="ESI21"/>
      <c r="ESJ21"/>
      <c r="ESK21"/>
      <c r="ESL21"/>
      <c r="ESM21"/>
      <c r="ESN21"/>
      <c r="ESO21"/>
      <c r="ESP21"/>
      <c r="ESQ21"/>
      <c r="ESR21"/>
      <c r="ESS21"/>
      <c r="EST21"/>
      <c r="ESU21"/>
      <c r="ESV21"/>
      <c r="ESW21"/>
      <c r="ESX21"/>
      <c r="ESY21"/>
      <c r="ESZ21"/>
      <c r="ETA21"/>
      <c r="ETB21"/>
      <c r="ETC21"/>
      <c r="ETD21"/>
      <c r="ETE21"/>
      <c r="ETF21"/>
      <c r="ETG21"/>
      <c r="ETH21"/>
      <c r="ETI21"/>
      <c r="ETJ21"/>
      <c r="ETK21"/>
      <c r="ETL21"/>
      <c r="ETM21"/>
      <c r="ETN21"/>
      <c r="ETO21"/>
      <c r="ETP21"/>
      <c r="ETQ21"/>
      <c r="ETR21"/>
      <c r="ETS21"/>
      <c r="ETT21"/>
      <c r="ETU21"/>
      <c r="ETV21"/>
      <c r="ETW21"/>
      <c r="ETX21"/>
      <c r="ETY21"/>
      <c r="ETZ21"/>
      <c r="EUA21"/>
      <c r="EUB21"/>
      <c r="EUC21"/>
      <c r="EUD21"/>
      <c r="EUE21"/>
      <c r="EUF21"/>
      <c r="EUG21"/>
      <c r="EUH21"/>
      <c r="EUI21"/>
      <c r="EUJ21"/>
      <c r="EUK21"/>
      <c r="EUL21"/>
      <c r="EUM21"/>
      <c r="EUN21"/>
      <c r="EUO21"/>
      <c r="EUP21"/>
      <c r="EUQ21"/>
      <c r="EUR21"/>
      <c r="EUS21"/>
      <c r="EUT21"/>
      <c r="EUU21"/>
      <c r="EUV21"/>
      <c r="EUW21"/>
      <c r="EUX21"/>
      <c r="EUY21"/>
      <c r="EUZ21"/>
      <c r="EVA21"/>
      <c r="EVB21"/>
      <c r="EVC21"/>
      <c r="EVD21"/>
      <c r="EVE21"/>
      <c r="EVF21"/>
      <c r="EVG21"/>
      <c r="EVH21"/>
      <c r="EVI21"/>
      <c r="EVJ21"/>
      <c r="EVK21"/>
      <c r="EVL21"/>
      <c r="EVM21"/>
      <c r="EVN21"/>
      <c r="EVO21"/>
      <c r="EVP21"/>
      <c r="EVQ21"/>
      <c r="EVR21"/>
      <c r="EVS21"/>
      <c r="EVT21"/>
      <c r="EVU21"/>
      <c r="EVV21"/>
      <c r="EVW21"/>
      <c r="EVX21"/>
      <c r="EVY21"/>
      <c r="EVZ21"/>
      <c r="EWA21"/>
      <c r="EWB21"/>
      <c r="EWC21"/>
      <c r="EWD21"/>
      <c r="EWE21"/>
      <c r="EWF21"/>
      <c r="EWG21"/>
      <c r="EWH21"/>
      <c r="EWI21"/>
      <c r="EWJ21"/>
      <c r="EWK21"/>
      <c r="EWL21"/>
      <c r="EWM21"/>
      <c r="EWN21"/>
      <c r="EWO21"/>
      <c r="EWP21"/>
      <c r="EWQ21"/>
      <c r="EWR21"/>
      <c r="EWS21"/>
      <c r="EWT21"/>
      <c r="EWU21"/>
      <c r="EWV21"/>
      <c r="EWW21"/>
      <c r="EWX21"/>
      <c r="EWY21"/>
      <c r="EWZ21"/>
      <c r="EXA21"/>
      <c r="EXB21"/>
      <c r="EXC21"/>
      <c r="EXD21"/>
      <c r="EXE21"/>
      <c r="EXF21"/>
      <c r="EXG21"/>
      <c r="EXH21"/>
      <c r="EXI21"/>
      <c r="EXJ21"/>
      <c r="EXK21"/>
      <c r="EXL21"/>
      <c r="EXM21"/>
      <c r="EXN21"/>
      <c r="EXO21"/>
      <c r="EXP21"/>
      <c r="EXQ21"/>
      <c r="EXR21"/>
      <c r="EXS21"/>
      <c r="EXT21"/>
      <c r="EXU21"/>
      <c r="EXV21"/>
      <c r="EXW21"/>
      <c r="EXX21"/>
      <c r="EXY21"/>
      <c r="EXZ21"/>
      <c r="EYA21"/>
      <c r="EYB21"/>
      <c r="EYC21"/>
      <c r="EYD21"/>
      <c r="EYE21"/>
      <c r="EYF21"/>
      <c r="EYG21"/>
      <c r="EYH21"/>
      <c r="EYI21"/>
      <c r="EYJ21"/>
      <c r="EYK21"/>
      <c r="EYL21"/>
      <c r="EYM21"/>
      <c r="EYN21"/>
      <c r="EYO21"/>
      <c r="EYP21"/>
      <c r="EYQ21"/>
      <c r="EYR21"/>
      <c r="EYS21"/>
      <c r="EYT21"/>
      <c r="EYU21"/>
      <c r="EYV21"/>
      <c r="EYW21"/>
      <c r="EYX21"/>
      <c r="EYY21"/>
      <c r="EYZ21"/>
      <c r="EZA21"/>
      <c r="EZB21"/>
      <c r="EZC21"/>
      <c r="EZD21"/>
      <c r="EZE21"/>
      <c r="EZF21"/>
      <c r="EZG21"/>
      <c r="EZH21"/>
      <c r="EZI21"/>
      <c r="EZJ21"/>
      <c r="EZK21"/>
      <c r="EZL21"/>
      <c r="EZM21"/>
      <c r="EZN21"/>
      <c r="EZO21"/>
      <c r="EZP21"/>
      <c r="EZQ21"/>
      <c r="EZR21"/>
      <c r="EZS21"/>
      <c r="EZT21"/>
      <c r="EZU21"/>
      <c r="EZV21"/>
      <c r="EZW21"/>
      <c r="EZX21"/>
      <c r="EZY21"/>
      <c r="EZZ21"/>
      <c r="FAA21"/>
      <c r="FAB21"/>
      <c r="FAC21"/>
      <c r="FAD21"/>
      <c r="FAE21"/>
      <c r="FAF21"/>
      <c r="FAG21"/>
      <c r="FAH21"/>
      <c r="FAI21"/>
      <c r="FAJ21"/>
      <c r="FAK21"/>
      <c r="FAL21"/>
      <c r="FAM21"/>
      <c r="FAN21"/>
      <c r="FAO21"/>
      <c r="FAP21"/>
      <c r="FAQ21"/>
      <c r="FAR21"/>
      <c r="FAS21"/>
      <c r="FAT21"/>
      <c r="FAU21"/>
      <c r="FAV21"/>
      <c r="FAW21"/>
      <c r="FAX21"/>
      <c r="FAY21"/>
      <c r="FAZ21"/>
      <c r="FBA21"/>
      <c r="FBB21"/>
      <c r="FBC21"/>
      <c r="FBD21"/>
      <c r="FBE21"/>
      <c r="FBF21"/>
      <c r="FBG21"/>
      <c r="FBH21"/>
      <c r="FBI21"/>
      <c r="FBJ21"/>
      <c r="FBK21"/>
      <c r="FBL21"/>
      <c r="FBM21"/>
      <c r="FBN21"/>
      <c r="FBO21"/>
      <c r="FBP21"/>
      <c r="FBQ21"/>
      <c r="FBR21"/>
      <c r="FBS21"/>
      <c r="FBT21"/>
      <c r="FBU21"/>
      <c r="FBV21"/>
      <c r="FBW21"/>
      <c r="FBX21"/>
      <c r="FBY21"/>
      <c r="FBZ21"/>
      <c r="FCA21"/>
      <c r="FCB21"/>
      <c r="FCC21"/>
      <c r="FCD21"/>
      <c r="FCE21"/>
      <c r="FCF21"/>
      <c r="FCG21"/>
      <c r="FCH21"/>
      <c r="FCI21"/>
      <c r="FCJ21"/>
      <c r="FCK21"/>
      <c r="FCL21"/>
      <c r="FCM21"/>
      <c r="FCN21"/>
      <c r="FCO21"/>
      <c r="FCP21"/>
      <c r="FCQ21"/>
      <c r="FCR21"/>
      <c r="FCS21"/>
      <c r="FCT21"/>
      <c r="FCU21"/>
      <c r="FCV21"/>
      <c r="FCW21"/>
      <c r="FCX21"/>
      <c r="FCY21"/>
      <c r="FCZ21"/>
      <c r="FDA21"/>
      <c r="FDB21"/>
      <c r="FDC21"/>
      <c r="FDD21"/>
      <c r="FDE21"/>
      <c r="FDF21"/>
      <c r="FDG21"/>
      <c r="FDH21"/>
      <c r="FDI21"/>
      <c r="FDJ21"/>
      <c r="FDK21"/>
      <c r="FDL21"/>
      <c r="FDM21"/>
      <c r="FDN21"/>
      <c r="FDO21"/>
      <c r="FDP21"/>
      <c r="FDQ21"/>
      <c r="FDR21"/>
      <c r="FDS21"/>
      <c r="FDT21"/>
      <c r="FDU21"/>
      <c r="FDV21"/>
      <c r="FDW21"/>
      <c r="FDX21"/>
      <c r="FDY21"/>
      <c r="FDZ21"/>
      <c r="FEA21"/>
      <c r="FEB21"/>
      <c r="FEC21"/>
      <c r="FED21"/>
      <c r="FEE21"/>
      <c r="FEF21"/>
      <c r="FEG21"/>
      <c r="FEH21"/>
      <c r="FEI21"/>
      <c r="FEJ21"/>
      <c r="FEK21"/>
      <c r="FEL21"/>
      <c r="FEM21"/>
      <c r="FEN21"/>
      <c r="FEO21"/>
      <c r="FEP21"/>
      <c r="FEQ21"/>
      <c r="FER21"/>
      <c r="FES21"/>
      <c r="FET21"/>
      <c r="FEU21"/>
      <c r="FEV21"/>
      <c r="FEW21"/>
      <c r="FEX21"/>
      <c r="FEY21"/>
      <c r="FEZ21"/>
      <c r="FFA21"/>
      <c r="FFB21"/>
      <c r="FFC21"/>
      <c r="FFD21"/>
      <c r="FFE21"/>
      <c r="FFF21"/>
      <c r="FFG21"/>
      <c r="FFH21"/>
      <c r="FFI21"/>
      <c r="FFJ21"/>
      <c r="FFK21"/>
      <c r="FFL21"/>
      <c r="FFM21"/>
      <c r="FFN21"/>
      <c r="FFO21"/>
      <c r="FFP21"/>
      <c r="FFQ21"/>
      <c r="FFR21"/>
      <c r="FFS21"/>
      <c r="FFT21"/>
      <c r="FFU21"/>
      <c r="FFV21"/>
      <c r="FFW21"/>
      <c r="FFX21"/>
      <c r="FFY21"/>
      <c r="FFZ21"/>
      <c r="FGA21"/>
      <c r="FGB21"/>
      <c r="FGC21"/>
      <c r="FGD21"/>
      <c r="FGE21"/>
      <c r="FGF21"/>
      <c r="FGG21"/>
      <c r="FGH21"/>
      <c r="FGI21"/>
      <c r="FGJ21"/>
      <c r="FGK21"/>
      <c r="FGL21"/>
      <c r="FGM21"/>
      <c r="FGN21"/>
      <c r="FGO21"/>
      <c r="FGP21"/>
      <c r="FGQ21"/>
      <c r="FGR21"/>
      <c r="FGS21"/>
      <c r="FGT21"/>
      <c r="FGU21"/>
      <c r="FGV21"/>
      <c r="FGW21"/>
      <c r="FGX21"/>
      <c r="FGY21"/>
      <c r="FGZ21"/>
      <c r="FHA21"/>
      <c r="FHB21"/>
      <c r="FHC21"/>
      <c r="FHD21"/>
      <c r="FHE21"/>
      <c r="FHF21"/>
      <c r="FHG21"/>
      <c r="FHH21"/>
      <c r="FHI21"/>
      <c r="FHJ21"/>
      <c r="FHK21"/>
      <c r="FHL21"/>
      <c r="FHM21"/>
      <c r="FHN21"/>
      <c r="FHO21"/>
      <c r="FHP21"/>
      <c r="FHQ21"/>
      <c r="FHR21"/>
      <c r="FHS21"/>
      <c r="FHT21"/>
      <c r="FHU21"/>
      <c r="FHV21"/>
      <c r="FHW21"/>
      <c r="FHX21"/>
      <c r="FHY21"/>
      <c r="FHZ21"/>
      <c r="FIA21"/>
      <c r="FIB21"/>
      <c r="FIC21"/>
      <c r="FID21"/>
      <c r="FIE21"/>
      <c r="FIF21"/>
      <c r="FIG21"/>
      <c r="FIH21"/>
      <c r="FII21"/>
      <c r="FIJ21"/>
      <c r="FIK21"/>
      <c r="FIL21"/>
      <c r="FIM21"/>
      <c r="FIN21"/>
      <c r="FIO21"/>
      <c r="FIP21"/>
      <c r="FIQ21"/>
      <c r="FIR21"/>
      <c r="FIS21"/>
      <c r="FIT21"/>
      <c r="FIU21"/>
      <c r="FIV21"/>
      <c r="FIW21"/>
      <c r="FIX21"/>
      <c r="FIY21"/>
      <c r="FIZ21"/>
      <c r="FJA21"/>
      <c r="FJB21"/>
      <c r="FJC21"/>
      <c r="FJD21"/>
      <c r="FJE21"/>
      <c r="FJF21"/>
      <c r="FJG21"/>
      <c r="FJH21"/>
      <c r="FJI21"/>
      <c r="FJJ21"/>
      <c r="FJK21"/>
      <c r="FJL21"/>
      <c r="FJM21"/>
      <c r="FJN21"/>
      <c r="FJO21"/>
      <c r="FJP21"/>
      <c r="FJQ21"/>
      <c r="FJR21"/>
      <c r="FJS21"/>
      <c r="FJT21"/>
      <c r="FJU21"/>
      <c r="FJV21"/>
      <c r="FJW21"/>
      <c r="FJX21"/>
      <c r="FJY21"/>
      <c r="FJZ21"/>
      <c r="FKA21"/>
      <c r="FKB21"/>
      <c r="FKC21"/>
      <c r="FKD21"/>
      <c r="FKE21"/>
      <c r="FKF21"/>
      <c r="FKG21"/>
      <c r="FKH21"/>
      <c r="FKI21"/>
      <c r="FKJ21"/>
      <c r="FKK21"/>
      <c r="FKL21"/>
      <c r="FKM21"/>
      <c r="FKN21"/>
      <c r="FKO21"/>
      <c r="FKP21"/>
      <c r="FKQ21"/>
      <c r="FKR21"/>
      <c r="FKS21"/>
      <c r="FKT21"/>
      <c r="FKU21"/>
      <c r="FKV21"/>
      <c r="FKW21"/>
      <c r="FKX21"/>
      <c r="FKY21"/>
      <c r="FKZ21"/>
      <c r="FLA21"/>
      <c r="FLB21"/>
      <c r="FLC21"/>
      <c r="FLD21"/>
      <c r="FLE21"/>
      <c r="FLF21"/>
      <c r="FLG21"/>
      <c r="FLH21"/>
      <c r="FLI21"/>
      <c r="FLJ21"/>
      <c r="FLK21"/>
      <c r="FLL21"/>
      <c r="FLM21"/>
      <c r="FLN21"/>
      <c r="FLO21"/>
      <c r="FLP21"/>
      <c r="FLQ21"/>
      <c r="FLR21"/>
      <c r="FLS21"/>
      <c r="FLT21"/>
      <c r="FLU21"/>
      <c r="FLV21"/>
      <c r="FLW21"/>
      <c r="FLX21"/>
      <c r="FLY21"/>
      <c r="FLZ21"/>
      <c r="FMA21"/>
      <c r="FMB21"/>
      <c r="FMC21"/>
      <c r="FMD21"/>
      <c r="FME21"/>
      <c r="FMF21"/>
      <c r="FMG21"/>
      <c r="FMH21"/>
      <c r="FMI21"/>
      <c r="FMJ21"/>
      <c r="FMK21"/>
      <c r="FML21"/>
      <c r="FMM21"/>
      <c r="FMN21"/>
      <c r="FMO21"/>
      <c r="FMP21"/>
      <c r="FMQ21"/>
      <c r="FMR21"/>
      <c r="FMS21"/>
      <c r="FMT21"/>
      <c r="FMU21"/>
      <c r="FMV21"/>
      <c r="FMW21"/>
      <c r="FMX21"/>
      <c r="FMY21"/>
      <c r="FMZ21"/>
      <c r="FNA21"/>
      <c r="FNB21"/>
      <c r="FNC21"/>
      <c r="FND21"/>
      <c r="FNE21"/>
      <c r="FNF21"/>
      <c r="FNG21"/>
      <c r="FNH21"/>
      <c r="FNI21"/>
      <c r="FNJ21"/>
      <c r="FNK21"/>
      <c r="FNL21"/>
      <c r="FNM21"/>
      <c r="FNN21"/>
      <c r="FNO21"/>
      <c r="FNP21"/>
      <c r="FNQ21"/>
      <c r="FNR21"/>
      <c r="FNS21"/>
      <c r="FNT21"/>
      <c r="FNU21"/>
      <c r="FNV21"/>
      <c r="FNW21"/>
      <c r="FNX21"/>
      <c r="FNY21"/>
      <c r="FNZ21"/>
      <c r="FOA21"/>
      <c r="FOB21"/>
      <c r="FOC21"/>
      <c r="FOD21"/>
      <c r="FOE21"/>
      <c r="FOF21"/>
      <c r="FOG21"/>
      <c r="FOH21"/>
      <c r="FOI21"/>
      <c r="FOJ21"/>
      <c r="FOK21"/>
      <c r="FOL21"/>
      <c r="FOM21"/>
      <c r="FON21"/>
      <c r="FOO21"/>
      <c r="FOP21"/>
      <c r="FOQ21"/>
      <c r="FOR21"/>
      <c r="FOS21"/>
      <c r="FOT21"/>
      <c r="FOU21"/>
      <c r="FOV21"/>
      <c r="FOW21"/>
      <c r="FOX21"/>
      <c r="FOY21"/>
      <c r="FOZ21"/>
      <c r="FPA21"/>
      <c r="FPB21"/>
      <c r="FPC21"/>
      <c r="FPD21"/>
      <c r="FPE21"/>
      <c r="FPF21"/>
      <c r="FPG21"/>
      <c r="FPH21"/>
      <c r="FPI21"/>
      <c r="FPJ21"/>
      <c r="FPK21"/>
      <c r="FPL21"/>
      <c r="FPM21"/>
      <c r="FPN21"/>
      <c r="FPO21"/>
      <c r="FPP21"/>
      <c r="FPQ21"/>
      <c r="FPR21"/>
      <c r="FPS21"/>
      <c r="FPT21"/>
      <c r="FPU21"/>
      <c r="FPV21"/>
      <c r="FPW21"/>
      <c r="FPX21"/>
      <c r="FPY21"/>
      <c r="FPZ21"/>
      <c r="FQA21"/>
      <c r="FQB21"/>
      <c r="FQC21"/>
      <c r="FQD21"/>
      <c r="FQE21"/>
      <c r="FQF21"/>
      <c r="FQG21"/>
      <c r="FQH21"/>
      <c r="FQI21"/>
      <c r="FQJ21"/>
      <c r="FQK21"/>
      <c r="FQL21"/>
      <c r="FQM21"/>
      <c r="FQN21"/>
      <c r="FQO21"/>
      <c r="FQP21"/>
      <c r="FQQ21"/>
      <c r="FQR21"/>
      <c r="FQS21"/>
      <c r="FQT21"/>
      <c r="FQU21"/>
      <c r="FQV21"/>
      <c r="FQW21"/>
      <c r="FQX21"/>
      <c r="FQY21"/>
      <c r="FQZ21"/>
      <c r="FRA21"/>
      <c r="FRB21"/>
      <c r="FRC21"/>
      <c r="FRD21"/>
      <c r="FRE21"/>
      <c r="FRF21"/>
      <c r="FRG21"/>
      <c r="FRH21"/>
      <c r="FRI21"/>
      <c r="FRJ21"/>
      <c r="FRK21"/>
      <c r="FRL21"/>
      <c r="FRM21"/>
      <c r="FRN21"/>
      <c r="FRO21"/>
      <c r="FRP21"/>
      <c r="FRQ21"/>
      <c r="FRR21"/>
      <c r="FRS21"/>
      <c r="FRT21"/>
      <c r="FRU21"/>
      <c r="FRV21"/>
      <c r="FRW21"/>
      <c r="FRX21"/>
      <c r="FRY21"/>
      <c r="FRZ21"/>
      <c r="FSA21"/>
      <c r="FSB21"/>
      <c r="FSC21"/>
      <c r="FSD21"/>
      <c r="FSE21"/>
      <c r="FSF21"/>
      <c r="FSG21"/>
      <c r="FSH21"/>
      <c r="FSI21"/>
      <c r="FSJ21"/>
      <c r="FSK21"/>
      <c r="FSL21"/>
      <c r="FSM21"/>
      <c r="FSN21"/>
      <c r="FSO21"/>
      <c r="FSP21"/>
      <c r="FSQ21"/>
      <c r="FSR21"/>
      <c r="FSS21"/>
      <c r="FST21"/>
      <c r="FSU21"/>
      <c r="FSV21"/>
      <c r="FSW21"/>
      <c r="FSX21"/>
      <c r="FSY21"/>
      <c r="FSZ21"/>
      <c r="FTA21"/>
      <c r="FTB21"/>
      <c r="FTC21"/>
      <c r="FTD21"/>
      <c r="FTE21"/>
      <c r="FTF21"/>
      <c r="FTG21"/>
      <c r="FTH21"/>
      <c r="FTI21"/>
      <c r="FTJ21"/>
      <c r="FTK21"/>
      <c r="FTL21"/>
      <c r="FTM21"/>
      <c r="FTN21"/>
      <c r="FTO21"/>
      <c r="FTP21"/>
      <c r="FTQ21"/>
      <c r="FTR21"/>
      <c r="FTS21"/>
      <c r="FTT21"/>
      <c r="FTU21"/>
      <c r="FTV21"/>
      <c r="FTW21"/>
      <c r="FTX21"/>
      <c r="FTY21"/>
      <c r="FTZ21"/>
      <c r="FUA21"/>
      <c r="FUB21"/>
      <c r="FUC21"/>
      <c r="FUD21"/>
      <c r="FUE21"/>
      <c r="FUF21"/>
      <c r="FUG21"/>
      <c r="FUH21"/>
      <c r="FUI21"/>
      <c r="FUJ21"/>
      <c r="FUK21"/>
      <c r="FUL21"/>
      <c r="FUM21"/>
      <c r="FUN21"/>
      <c r="FUO21"/>
      <c r="FUP21"/>
      <c r="FUQ21"/>
      <c r="FUR21"/>
      <c r="FUS21"/>
      <c r="FUT21"/>
      <c r="FUU21"/>
      <c r="FUV21"/>
      <c r="FUW21"/>
      <c r="FUX21"/>
      <c r="FUY21"/>
      <c r="FUZ21"/>
      <c r="FVA21"/>
      <c r="FVB21"/>
      <c r="FVC21"/>
      <c r="FVD21"/>
      <c r="FVE21"/>
      <c r="FVF21"/>
      <c r="FVG21"/>
      <c r="FVH21"/>
      <c r="FVI21"/>
      <c r="FVJ21"/>
      <c r="FVK21"/>
      <c r="FVL21"/>
      <c r="FVM21"/>
      <c r="FVN21"/>
      <c r="FVO21"/>
      <c r="FVP21"/>
      <c r="FVQ21"/>
      <c r="FVR21"/>
      <c r="FVS21"/>
      <c r="FVT21"/>
      <c r="FVU21"/>
      <c r="FVV21"/>
      <c r="FVW21"/>
      <c r="FVX21"/>
      <c r="FVY21"/>
      <c r="FVZ21"/>
      <c r="FWA21"/>
      <c r="FWB21"/>
      <c r="FWC21"/>
      <c r="FWD21"/>
      <c r="FWE21"/>
      <c r="FWF21"/>
      <c r="FWG21"/>
      <c r="FWH21"/>
      <c r="FWI21"/>
      <c r="FWJ21"/>
      <c r="FWK21"/>
      <c r="FWL21"/>
      <c r="FWM21"/>
      <c r="FWN21"/>
      <c r="FWO21"/>
      <c r="FWP21"/>
      <c r="FWQ21"/>
      <c r="FWR21"/>
      <c r="FWS21"/>
      <c r="FWT21"/>
      <c r="FWU21"/>
      <c r="FWV21"/>
      <c r="FWW21"/>
      <c r="FWX21"/>
      <c r="FWY21"/>
      <c r="FWZ21"/>
      <c r="FXA21"/>
      <c r="FXB21"/>
      <c r="FXC21"/>
      <c r="FXD21"/>
      <c r="FXE21"/>
      <c r="FXF21"/>
      <c r="FXG21"/>
      <c r="FXH21"/>
      <c r="FXI21"/>
      <c r="FXJ21"/>
      <c r="FXK21"/>
      <c r="FXL21"/>
      <c r="FXM21"/>
      <c r="FXN21"/>
      <c r="FXO21"/>
      <c r="FXP21"/>
      <c r="FXQ21"/>
      <c r="FXR21"/>
      <c r="FXS21"/>
      <c r="FXT21"/>
      <c r="FXU21"/>
      <c r="FXV21"/>
      <c r="FXW21"/>
      <c r="FXX21"/>
      <c r="FXY21"/>
      <c r="FXZ21"/>
      <c r="FYA21"/>
      <c r="FYB21"/>
      <c r="FYC21"/>
      <c r="FYD21"/>
      <c r="FYE21"/>
      <c r="FYF21"/>
      <c r="FYG21"/>
      <c r="FYH21"/>
      <c r="FYI21"/>
      <c r="FYJ21"/>
      <c r="FYK21"/>
      <c r="FYL21"/>
      <c r="FYM21"/>
      <c r="FYN21"/>
      <c r="FYO21"/>
      <c r="FYP21"/>
      <c r="FYQ21"/>
      <c r="FYR21"/>
      <c r="FYS21"/>
      <c r="FYT21"/>
      <c r="FYU21"/>
      <c r="FYV21"/>
      <c r="FYW21"/>
      <c r="FYX21"/>
      <c r="FYY21"/>
      <c r="FYZ21"/>
      <c r="FZA21"/>
      <c r="FZB21"/>
      <c r="FZC21"/>
      <c r="FZD21"/>
      <c r="FZE21"/>
      <c r="FZF21"/>
      <c r="FZG21"/>
      <c r="FZH21"/>
      <c r="FZI21"/>
      <c r="FZJ21"/>
      <c r="FZK21"/>
      <c r="FZL21"/>
      <c r="FZM21"/>
      <c r="FZN21"/>
      <c r="FZO21"/>
      <c r="FZP21"/>
      <c r="FZQ21"/>
      <c r="FZR21"/>
      <c r="FZS21"/>
      <c r="FZT21"/>
      <c r="FZU21"/>
      <c r="FZV21"/>
      <c r="FZW21"/>
      <c r="FZX21"/>
      <c r="FZY21"/>
      <c r="FZZ21"/>
      <c r="GAA21"/>
      <c r="GAB21"/>
      <c r="GAC21"/>
      <c r="GAD21"/>
      <c r="GAE21"/>
      <c r="GAF21"/>
      <c r="GAG21"/>
      <c r="GAH21"/>
      <c r="GAI21"/>
      <c r="GAJ21"/>
      <c r="GAK21"/>
      <c r="GAL21"/>
      <c r="GAM21"/>
      <c r="GAN21"/>
      <c r="GAO21"/>
      <c r="GAP21"/>
      <c r="GAQ21"/>
      <c r="GAR21"/>
      <c r="GAS21"/>
      <c r="GAT21"/>
      <c r="GAU21"/>
      <c r="GAV21"/>
      <c r="GAW21"/>
      <c r="GAX21"/>
      <c r="GAY21"/>
      <c r="GAZ21"/>
      <c r="GBA21"/>
      <c r="GBB21"/>
      <c r="GBC21"/>
      <c r="GBD21"/>
      <c r="GBE21"/>
      <c r="GBF21"/>
      <c r="GBG21"/>
      <c r="GBH21"/>
      <c r="GBI21"/>
      <c r="GBJ21"/>
      <c r="GBK21"/>
      <c r="GBL21"/>
      <c r="GBM21"/>
      <c r="GBN21"/>
      <c r="GBO21"/>
      <c r="GBP21"/>
      <c r="GBQ21"/>
      <c r="GBR21"/>
      <c r="GBS21"/>
      <c r="GBT21"/>
      <c r="GBU21"/>
      <c r="GBV21"/>
      <c r="GBW21"/>
      <c r="GBX21"/>
      <c r="GBY21"/>
      <c r="GBZ21"/>
      <c r="GCA21"/>
      <c r="GCB21"/>
      <c r="GCC21"/>
      <c r="GCD21"/>
      <c r="GCE21"/>
      <c r="GCF21"/>
      <c r="GCG21"/>
      <c r="GCH21"/>
      <c r="GCI21"/>
      <c r="GCJ21"/>
      <c r="GCK21"/>
      <c r="GCL21"/>
      <c r="GCM21"/>
      <c r="GCN21"/>
      <c r="GCO21"/>
      <c r="GCP21"/>
      <c r="GCQ21"/>
      <c r="GCR21"/>
      <c r="GCS21"/>
      <c r="GCT21"/>
      <c r="GCU21"/>
      <c r="GCV21"/>
      <c r="GCW21"/>
      <c r="GCX21"/>
      <c r="GCY21"/>
      <c r="GCZ21"/>
      <c r="GDA21"/>
      <c r="GDB21"/>
      <c r="GDC21"/>
      <c r="GDD21"/>
      <c r="GDE21"/>
      <c r="GDF21"/>
      <c r="GDG21"/>
      <c r="GDH21"/>
      <c r="GDI21"/>
      <c r="GDJ21"/>
      <c r="GDK21"/>
      <c r="GDL21"/>
      <c r="GDM21"/>
      <c r="GDN21"/>
      <c r="GDO21"/>
      <c r="GDP21"/>
      <c r="GDQ21"/>
      <c r="GDR21"/>
      <c r="GDS21"/>
      <c r="GDT21"/>
      <c r="GDU21"/>
      <c r="GDV21"/>
      <c r="GDW21"/>
      <c r="GDX21"/>
      <c r="GDY21"/>
      <c r="GDZ21"/>
      <c r="GEA21"/>
      <c r="GEB21"/>
      <c r="GEC21"/>
      <c r="GED21"/>
      <c r="GEE21"/>
      <c r="GEF21"/>
      <c r="GEG21"/>
      <c r="GEH21"/>
      <c r="GEI21"/>
      <c r="GEJ21"/>
      <c r="GEK21"/>
      <c r="GEL21"/>
      <c r="GEM21"/>
      <c r="GEN21"/>
      <c r="GEO21"/>
      <c r="GEP21"/>
      <c r="GEQ21"/>
      <c r="GER21"/>
      <c r="GES21"/>
      <c r="GET21"/>
      <c r="GEU21"/>
      <c r="GEV21"/>
      <c r="GEW21"/>
      <c r="GEX21"/>
      <c r="GEY21"/>
      <c r="GEZ21"/>
      <c r="GFA21"/>
      <c r="GFB21"/>
      <c r="GFC21"/>
      <c r="GFD21"/>
      <c r="GFE21"/>
      <c r="GFF21"/>
      <c r="GFG21"/>
      <c r="GFH21"/>
      <c r="GFI21"/>
      <c r="GFJ21"/>
      <c r="GFK21"/>
      <c r="GFL21"/>
      <c r="GFM21"/>
      <c r="GFN21"/>
      <c r="GFO21"/>
      <c r="GFP21"/>
      <c r="GFQ21"/>
      <c r="GFR21"/>
      <c r="GFS21"/>
      <c r="GFT21"/>
      <c r="GFU21"/>
      <c r="GFV21"/>
      <c r="GFW21"/>
      <c r="GFX21"/>
      <c r="GFY21"/>
      <c r="GFZ21"/>
      <c r="GGA21"/>
      <c r="GGB21"/>
      <c r="GGC21"/>
      <c r="GGD21"/>
      <c r="GGE21"/>
      <c r="GGF21"/>
      <c r="GGG21"/>
      <c r="GGH21"/>
      <c r="GGI21"/>
      <c r="GGJ21"/>
      <c r="GGK21"/>
      <c r="GGL21"/>
      <c r="GGM21"/>
      <c r="GGN21"/>
      <c r="GGO21"/>
      <c r="GGP21"/>
      <c r="GGQ21"/>
      <c r="GGR21"/>
      <c r="GGS21"/>
      <c r="GGT21"/>
      <c r="GGU21"/>
      <c r="GGV21"/>
      <c r="GGW21"/>
      <c r="GGX21"/>
      <c r="GGY21"/>
      <c r="GGZ21"/>
      <c r="GHA21"/>
      <c r="GHB21"/>
      <c r="GHC21"/>
      <c r="GHD21"/>
      <c r="GHE21"/>
      <c r="GHF21"/>
      <c r="GHG21"/>
      <c r="GHH21"/>
      <c r="GHI21"/>
      <c r="GHJ21"/>
      <c r="GHK21"/>
      <c r="GHL21"/>
      <c r="GHM21"/>
      <c r="GHN21"/>
      <c r="GHO21"/>
      <c r="GHP21"/>
      <c r="GHQ21"/>
      <c r="GHR21"/>
      <c r="GHS21"/>
      <c r="GHT21"/>
      <c r="GHU21"/>
      <c r="GHV21"/>
      <c r="GHW21"/>
      <c r="GHX21"/>
      <c r="GHY21"/>
      <c r="GHZ21"/>
      <c r="GIA21"/>
      <c r="GIB21"/>
      <c r="GIC21"/>
      <c r="GID21"/>
      <c r="GIE21"/>
      <c r="GIF21"/>
      <c r="GIG21"/>
      <c r="GIH21"/>
      <c r="GII21"/>
      <c r="GIJ21"/>
      <c r="GIK21"/>
      <c r="GIL21"/>
      <c r="GIM21"/>
      <c r="GIN21"/>
      <c r="GIO21"/>
      <c r="GIP21"/>
      <c r="GIQ21"/>
      <c r="GIR21"/>
      <c r="GIS21"/>
      <c r="GIT21"/>
      <c r="GIU21"/>
      <c r="GIV21"/>
      <c r="GIW21"/>
      <c r="GIX21"/>
      <c r="GIY21"/>
      <c r="GIZ21"/>
      <c r="GJA21"/>
      <c r="GJB21"/>
      <c r="GJC21"/>
      <c r="GJD21"/>
      <c r="GJE21"/>
      <c r="GJF21"/>
      <c r="GJG21"/>
      <c r="GJH21"/>
      <c r="GJI21"/>
      <c r="GJJ21"/>
      <c r="GJK21"/>
      <c r="GJL21"/>
      <c r="GJM21"/>
      <c r="GJN21"/>
      <c r="GJO21"/>
      <c r="GJP21"/>
      <c r="GJQ21"/>
      <c r="GJR21"/>
      <c r="GJS21"/>
      <c r="GJT21"/>
      <c r="GJU21"/>
      <c r="GJV21"/>
      <c r="GJW21"/>
      <c r="GJX21"/>
      <c r="GJY21"/>
      <c r="GJZ21"/>
      <c r="GKA21"/>
      <c r="GKB21"/>
      <c r="GKC21"/>
      <c r="GKD21"/>
      <c r="GKE21"/>
      <c r="GKF21"/>
      <c r="GKG21"/>
      <c r="GKH21"/>
      <c r="GKI21"/>
      <c r="GKJ21"/>
      <c r="GKK21"/>
      <c r="GKL21"/>
      <c r="GKM21"/>
      <c r="GKN21"/>
      <c r="GKO21"/>
      <c r="GKP21"/>
      <c r="GKQ21"/>
      <c r="GKR21"/>
      <c r="GKS21"/>
      <c r="GKT21"/>
      <c r="GKU21"/>
      <c r="GKV21"/>
      <c r="GKW21"/>
      <c r="GKX21"/>
      <c r="GKY21"/>
      <c r="GKZ21"/>
      <c r="GLA21"/>
      <c r="GLB21"/>
      <c r="GLC21"/>
      <c r="GLD21"/>
      <c r="GLE21"/>
      <c r="GLF21"/>
      <c r="GLG21"/>
      <c r="GLH21"/>
      <c r="GLI21"/>
      <c r="GLJ21"/>
      <c r="GLK21"/>
      <c r="GLL21"/>
      <c r="GLM21"/>
      <c r="GLN21"/>
      <c r="GLO21"/>
      <c r="GLP21"/>
      <c r="GLQ21"/>
      <c r="GLR21"/>
      <c r="GLS21"/>
      <c r="GLT21"/>
      <c r="GLU21"/>
      <c r="GLV21"/>
      <c r="GLW21"/>
      <c r="GLX21"/>
      <c r="GLY21"/>
      <c r="GLZ21"/>
      <c r="GMA21"/>
      <c r="GMB21"/>
      <c r="GMC21"/>
      <c r="GMD21"/>
      <c r="GME21"/>
      <c r="GMF21"/>
      <c r="GMG21"/>
      <c r="GMH21"/>
      <c r="GMI21"/>
      <c r="GMJ21"/>
      <c r="GMK21"/>
      <c r="GML21"/>
      <c r="GMM21"/>
      <c r="GMN21"/>
      <c r="GMO21"/>
      <c r="GMP21"/>
      <c r="GMQ21"/>
      <c r="GMR21"/>
      <c r="GMS21"/>
      <c r="GMT21"/>
      <c r="GMU21"/>
      <c r="GMV21"/>
      <c r="GMW21"/>
      <c r="GMX21"/>
      <c r="GMY21"/>
      <c r="GMZ21"/>
      <c r="GNA21"/>
      <c r="GNB21"/>
      <c r="GNC21"/>
      <c r="GND21"/>
      <c r="GNE21"/>
      <c r="GNF21"/>
      <c r="GNG21"/>
      <c r="GNH21"/>
      <c r="GNI21"/>
      <c r="GNJ21"/>
      <c r="GNK21"/>
      <c r="GNL21"/>
      <c r="GNM21"/>
      <c r="GNN21"/>
      <c r="GNO21"/>
      <c r="GNP21"/>
      <c r="GNQ21"/>
      <c r="GNR21"/>
      <c r="GNS21"/>
      <c r="GNT21"/>
      <c r="GNU21"/>
      <c r="GNV21"/>
      <c r="GNW21"/>
      <c r="GNX21"/>
      <c r="GNY21"/>
      <c r="GNZ21"/>
      <c r="GOA21"/>
      <c r="GOB21"/>
      <c r="GOC21"/>
      <c r="GOD21"/>
      <c r="GOE21"/>
      <c r="GOF21"/>
      <c r="GOG21"/>
      <c r="GOH21"/>
      <c r="GOI21"/>
      <c r="GOJ21"/>
      <c r="GOK21"/>
      <c r="GOL21"/>
      <c r="GOM21"/>
      <c r="GON21"/>
      <c r="GOO21"/>
      <c r="GOP21"/>
      <c r="GOQ21"/>
      <c r="GOR21"/>
      <c r="GOS21"/>
      <c r="GOT21"/>
      <c r="GOU21"/>
      <c r="GOV21"/>
      <c r="GOW21"/>
      <c r="GOX21"/>
      <c r="GOY21"/>
      <c r="GOZ21"/>
      <c r="GPA21"/>
      <c r="GPB21"/>
      <c r="GPC21"/>
      <c r="GPD21"/>
      <c r="GPE21"/>
      <c r="GPF21"/>
      <c r="GPG21"/>
      <c r="GPH21"/>
      <c r="GPI21"/>
      <c r="GPJ21"/>
      <c r="GPK21"/>
      <c r="GPL21"/>
      <c r="GPM21"/>
      <c r="GPN21"/>
      <c r="GPO21"/>
      <c r="GPP21"/>
      <c r="GPQ21"/>
      <c r="GPR21"/>
      <c r="GPS21"/>
      <c r="GPT21"/>
      <c r="GPU21"/>
      <c r="GPV21"/>
      <c r="GPW21"/>
      <c r="GPX21"/>
      <c r="GPY21"/>
      <c r="GPZ21"/>
      <c r="GQA21"/>
      <c r="GQB21"/>
      <c r="GQC21"/>
      <c r="GQD21"/>
      <c r="GQE21"/>
      <c r="GQF21"/>
      <c r="GQG21"/>
      <c r="GQH21"/>
      <c r="GQI21"/>
      <c r="GQJ21"/>
      <c r="GQK21"/>
      <c r="GQL21"/>
      <c r="GQM21"/>
      <c r="GQN21"/>
      <c r="GQO21"/>
      <c r="GQP21"/>
      <c r="GQQ21"/>
      <c r="GQR21"/>
      <c r="GQS21"/>
      <c r="GQT21"/>
      <c r="GQU21"/>
      <c r="GQV21"/>
      <c r="GQW21"/>
      <c r="GQX21"/>
      <c r="GQY21"/>
      <c r="GQZ21"/>
      <c r="GRA21"/>
      <c r="GRB21"/>
      <c r="GRC21"/>
      <c r="GRD21"/>
      <c r="GRE21"/>
      <c r="GRF21"/>
      <c r="GRG21"/>
      <c r="GRH21"/>
      <c r="GRI21"/>
      <c r="GRJ21"/>
      <c r="GRK21"/>
      <c r="GRL21"/>
      <c r="GRM21"/>
      <c r="GRN21"/>
      <c r="GRO21"/>
      <c r="GRP21"/>
      <c r="GRQ21"/>
      <c r="GRR21"/>
      <c r="GRS21"/>
      <c r="GRT21"/>
      <c r="GRU21"/>
      <c r="GRV21"/>
      <c r="GRW21"/>
      <c r="GRX21"/>
      <c r="GRY21"/>
      <c r="GRZ21"/>
      <c r="GSA21"/>
      <c r="GSB21"/>
      <c r="GSC21"/>
      <c r="GSD21"/>
      <c r="GSE21"/>
      <c r="GSF21"/>
      <c r="GSG21"/>
      <c r="GSH21"/>
      <c r="GSI21"/>
      <c r="GSJ21"/>
      <c r="GSK21"/>
      <c r="GSL21"/>
      <c r="GSM21"/>
      <c r="GSN21"/>
      <c r="GSO21"/>
      <c r="GSP21"/>
      <c r="GSQ21"/>
      <c r="GSR21"/>
      <c r="GSS21"/>
      <c r="GST21"/>
      <c r="GSU21"/>
      <c r="GSV21"/>
      <c r="GSW21"/>
      <c r="GSX21"/>
      <c r="GSY21"/>
      <c r="GSZ21"/>
      <c r="GTA21"/>
      <c r="GTB21"/>
      <c r="GTC21"/>
      <c r="GTD21"/>
      <c r="GTE21"/>
      <c r="GTF21"/>
      <c r="GTG21"/>
      <c r="GTH21"/>
      <c r="GTI21"/>
      <c r="GTJ21"/>
      <c r="GTK21"/>
      <c r="GTL21"/>
      <c r="GTM21"/>
      <c r="GTN21"/>
      <c r="GTO21"/>
      <c r="GTP21"/>
      <c r="GTQ21"/>
      <c r="GTR21"/>
      <c r="GTS21"/>
      <c r="GTT21"/>
      <c r="GTU21"/>
      <c r="GTV21"/>
      <c r="GTW21"/>
      <c r="GTX21"/>
      <c r="GTY21"/>
      <c r="GTZ21"/>
      <c r="GUA21"/>
      <c r="GUB21"/>
      <c r="GUC21"/>
      <c r="GUD21"/>
      <c r="GUE21"/>
      <c r="GUF21"/>
      <c r="GUG21"/>
      <c r="GUH21"/>
      <c r="GUI21"/>
      <c r="GUJ21"/>
      <c r="GUK21"/>
      <c r="GUL21"/>
      <c r="GUM21"/>
      <c r="GUN21"/>
      <c r="GUO21"/>
      <c r="GUP21"/>
      <c r="GUQ21"/>
      <c r="GUR21"/>
      <c r="GUS21"/>
      <c r="GUT21"/>
      <c r="GUU21"/>
      <c r="GUV21"/>
      <c r="GUW21"/>
      <c r="GUX21"/>
      <c r="GUY21"/>
      <c r="GUZ21"/>
      <c r="GVA21"/>
      <c r="GVB21"/>
      <c r="GVC21"/>
      <c r="GVD21"/>
      <c r="GVE21"/>
      <c r="GVF21"/>
      <c r="GVG21"/>
      <c r="GVH21"/>
      <c r="GVI21"/>
      <c r="GVJ21"/>
      <c r="GVK21"/>
      <c r="GVL21"/>
      <c r="GVM21"/>
      <c r="GVN21"/>
      <c r="GVO21"/>
      <c r="GVP21"/>
      <c r="GVQ21"/>
      <c r="GVR21"/>
      <c r="GVS21"/>
      <c r="GVT21"/>
      <c r="GVU21"/>
      <c r="GVV21"/>
      <c r="GVW21"/>
      <c r="GVX21"/>
      <c r="GVY21"/>
      <c r="GVZ21"/>
      <c r="GWA21"/>
      <c r="GWB21"/>
      <c r="GWC21"/>
      <c r="GWD21"/>
      <c r="GWE21"/>
      <c r="GWF21"/>
      <c r="GWG21"/>
      <c r="GWH21"/>
      <c r="GWI21"/>
      <c r="GWJ21"/>
      <c r="GWK21"/>
      <c r="GWL21"/>
      <c r="GWM21"/>
      <c r="GWN21"/>
      <c r="GWO21"/>
      <c r="GWP21"/>
      <c r="GWQ21"/>
      <c r="GWR21"/>
      <c r="GWS21"/>
      <c r="GWT21"/>
      <c r="GWU21"/>
      <c r="GWV21"/>
      <c r="GWW21"/>
      <c r="GWX21"/>
      <c r="GWY21"/>
      <c r="GWZ21"/>
      <c r="GXA21"/>
      <c r="GXB21"/>
      <c r="GXC21"/>
      <c r="GXD21"/>
      <c r="GXE21"/>
      <c r="GXF21"/>
      <c r="GXG21"/>
      <c r="GXH21"/>
      <c r="GXI21"/>
      <c r="GXJ21"/>
      <c r="GXK21"/>
      <c r="GXL21"/>
      <c r="GXM21"/>
      <c r="GXN21"/>
      <c r="GXO21"/>
      <c r="GXP21"/>
      <c r="GXQ21"/>
      <c r="GXR21"/>
      <c r="GXS21"/>
      <c r="GXT21"/>
      <c r="GXU21"/>
      <c r="GXV21"/>
      <c r="GXW21"/>
      <c r="GXX21"/>
      <c r="GXY21"/>
      <c r="GXZ21"/>
      <c r="GYA21"/>
      <c r="GYB21"/>
      <c r="GYC21"/>
      <c r="GYD21"/>
      <c r="GYE21"/>
      <c r="GYF21"/>
      <c r="GYG21"/>
      <c r="GYH21"/>
      <c r="GYI21"/>
      <c r="GYJ21"/>
      <c r="GYK21"/>
      <c r="GYL21"/>
      <c r="GYM21"/>
      <c r="GYN21"/>
      <c r="GYO21"/>
      <c r="GYP21"/>
      <c r="GYQ21"/>
      <c r="GYR21"/>
      <c r="GYS21"/>
      <c r="GYT21"/>
      <c r="GYU21"/>
      <c r="GYV21"/>
      <c r="GYW21"/>
      <c r="GYX21"/>
      <c r="GYY21"/>
      <c r="GYZ21"/>
      <c r="GZA21"/>
      <c r="GZB21"/>
      <c r="GZC21"/>
      <c r="GZD21"/>
      <c r="GZE21"/>
      <c r="GZF21"/>
      <c r="GZG21"/>
      <c r="GZH21"/>
      <c r="GZI21"/>
      <c r="GZJ21"/>
      <c r="GZK21"/>
      <c r="GZL21"/>
      <c r="GZM21"/>
      <c r="GZN21"/>
      <c r="GZO21"/>
      <c r="GZP21"/>
      <c r="GZQ21"/>
      <c r="GZR21"/>
      <c r="GZS21"/>
      <c r="GZT21"/>
      <c r="GZU21"/>
      <c r="GZV21"/>
      <c r="GZW21"/>
      <c r="GZX21"/>
      <c r="GZY21"/>
      <c r="GZZ21"/>
      <c r="HAA21"/>
      <c r="HAB21"/>
      <c r="HAC21"/>
      <c r="HAD21"/>
      <c r="HAE21"/>
      <c r="HAF21"/>
      <c r="HAG21"/>
      <c r="HAH21"/>
      <c r="HAI21"/>
      <c r="HAJ21"/>
      <c r="HAK21"/>
      <c r="HAL21"/>
      <c r="HAM21"/>
      <c r="HAN21"/>
      <c r="HAO21"/>
      <c r="HAP21"/>
      <c r="HAQ21"/>
      <c r="HAR21"/>
      <c r="HAS21"/>
      <c r="HAT21"/>
      <c r="HAU21"/>
      <c r="HAV21"/>
      <c r="HAW21"/>
      <c r="HAX21"/>
      <c r="HAY21"/>
      <c r="HAZ21"/>
      <c r="HBA21"/>
      <c r="HBB21"/>
      <c r="HBC21"/>
      <c r="HBD21"/>
      <c r="HBE21"/>
      <c r="HBF21"/>
      <c r="HBG21"/>
      <c r="HBH21"/>
      <c r="HBI21"/>
      <c r="HBJ21"/>
      <c r="HBK21"/>
      <c r="HBL21"/>
      <c r="HBM21"/>
      <c r="HBN21"/>
      <c r="HBO21"/>
      <c r="HBP21"/>
      <c r="HBQ21"/>
      <c r="HBR21"/>
      <c r="HBS21"/>
      <c r="HBT21"/>
      <c r="HBU21"/>
      <c r="HBV21"/>
      <c r="HBW21"/>
      <c r="HBX21"/>
      <c r="HBY21"/>
      <c r="HBZ21"/>
      <c r="HCA21"/>
      <c r="HCB21"/>
      <c r="HCC21"/>
      <c r="HCD21"/>
      <c r="HCE21"/>
      <c r="HCF21"/>
      <c r="HCG21"/>
      <c r="HCH21"/>
      <c r="HCI21"/>
      <c r="HCJ21"/>
      <c r="HCK21"/>
      <c r="HCL21"/>
      <c r="HCM21"/>
      <c r="HCN21"/>
      <c r="HCO21"/>
      <c r="HCP21"/>
      <c r="HCQ21"/>
      <c r="HCR21"/>
      <c r="HCS21"/>
      <c r="HCT21"/>
      <c r="HCU21"/>
      <c r="HCV21"/>
      <c r="HCW21"/>
      <c r="HCX21"/>
      <c r="HCY21"/>
      <c r="HCZ21"/>
      <c r="HDA21"/>
      <c r="HDB21"/>
      <c r="HDC21"/>
      <c r="HDD21"/>
      <c r="HDE21"/>
      <c r="HDF21"/>
      <c r="HDG21"/>
      <c r="HDH21"/>
      <c r="HDI21"/>
      <c r="HDJ21"/>
      <c r="HDK21"/>
      <c r="HDL21"/>
      <c r="HDM21"/>
      <c r="HDN21"/>
      <c r="HDO21"/>
      <c r="HDP21"/>
      <c r="HDQ21"/>
      <c r="HDR21"/>
      <c r="HDS21"/>
      <c r="HDT21"/>
      <c r="HDU21"/>
      <c r="HDV21"/>
      <c r="HDW21"/>
      <c r="HDX21"/>
      <c r="HDY21"/>
      <c r="HDZ21"/>
      <c r="HEA21"/>
      <c r="HEB21"/>
      <c r="HEC21"/>
      <c r="HED21"/>
      <c r="HEE21"/>
      <c r="HEF21"/>
      <c r="HEG21"/>
      <c r="HEH21"/>
      <c r="HEI21"/>
      <c r="HEJ21"/>
      <c r="HEK21"/>
      <c r="HEL21"/>
      <c r="HEM21"/>
      <c r="HEN21"/>
      <c r="HEO21"/>
      <c r="HEP21"/>
      <c r="HEQ21"/>
      <c r="HER21"/>
      <c r="HES21"/>
      <c r="HET21"/>
      <c r="HEU21"/>
      <c r="HEV21"/>
      <c r="HEW21"/>
      <c r="HEX21"/>
      <c r="HEY21"/>
      <c r="HEZ21"/>
      <c r="HFA21"/>
      <c r="HFB21"/>
      <c r="HFC21"/>
      <c r="HFD21"/>
      <c r="HFE21"/>
      <c r="HFF21"/>
      <c r="HFG21"/>
      <c r="HFH21"/>
      <c r="HFI21"/>
      <c r="HFJ21"/>
      <c r="HFK21"/>
      <c r="HFL21"/>
      <c r="HFM21"/>
      <c r="HFN21"/>
      <c r="HFO21"/>
      <c r="HFP21"/>
      <c r="HFQ21"/>
      <c r="HFR21"/>
      <c r="HFS21"/>
      <c r="HFT21"/>
      <c r="HFU21"/>
      <c r="HFV21"/>
      <c r="HFW21"/>
      <c r="HFX21"/>
      <c r="HFY21"/>
      <c r="HFZ21"/>
      <c r="HGA21"/>
      <c r="HGB21"/>
      <c r="HGC21"/>
      <c r="HGD21"/>
      <c r="HGE21"/>
      <c r="HGF21"/>
      <c r="HGG21"/>
      <c r="HGH21"/>
      <c r="HGI21"/>
      <c r="HGJ21"/>
      <c r="HGK21"/>
      <c r="HGL21"/>
      <c r="HGM21"/>
      <c r="HGN21"/>
      <c r="HGO21"/>
      <c r="HGP21"/>
      <c r="HGQ21"/>
      <c r="HGR21"/>
      <c r="HGS21"/>
      <c r="HGT21"/>
      <c r="HGU21"/>
      <c r="HGV21"/>
      <c r="HGW21"/>
      <c r="HGX21"/>
      <c r="HGY21"/>
      <c r="HGZ21"/>
      <c r="HHA21"/>
      <c r="HHB21"/>
      <c r="HHC21"/>
      <c r="HHD21"/>
      <c r="HHE21"/>
      <c r="HHF21"/>
      <c r="HHG21"/>
      <c r="HHH21"/>
      <c r="HHI21"/>
      <c r="HHJ21"/>
      <c r="HHK21"/>
      <c r="HHL21"/>
      <c r="HHM21"/>
      <c r="HHN21"/>
      <c r="HHO21"/>
      <c r="HHP21"/>
      <c r="HHQ21"/>
      <c r="HHR21"/>
      <c r="HHS21"/>
      <c r="HHT21"/>
      <c r="HHU21"/>
      <c r="HHV21"/>
      <c r="HHW21"/>
      <c r="HHX21"/>
      <c r="HHY21"/>
      <c r="HHZ21"/>
      <c r="HIA21"/>
      <c r="HIB21"/>
      <c r="HIC21"/>
      <c r="HID21"/>
      <c r="HIE21"/>
      <c r="HIF21"/>
      <c r="HIG21"/>
      <c r="HIH21"/>
      <c r="HII21"/>
      <c r="HIJ21"/>
      <c r="HIK21"/>
      <c r="HIL21"/>
      <c r="HIM21"/>
      <c r="HIN21"/>
      <c r="HIO21"/>
      <c r="HIP21"/>
      <c r="HIQ21"/>
      <c r="HIR21"/>
      <c r="HIS21"/>
      <c r="HIT21"/>
      <c r="HIU21"/>
      <c r="HIV21"/>
      <c r="HIW21"/>
      <c r="HIX21"/>
      <c r="HIY21"/>
      <c r="HIZ21"/>
      <c r="HJA21"/>
      <c r="HJB21"/>
      <c r="HJC21"/>
      <c r="HJD21"/>
      <c r="HJE21"/>
      <c r="HJF21"/>
      <c r="HJG21"/>
      <c r="HJH21"/>
      <c r="HJI21"/>
      <c r="HJJ21"/>
      <c r="HJK21"/>
      <c r="HJL21"/>
      <c r="HJM21"/>
      <c r="HJN21"/>
      <c r="HJO21"/>
      <c r="HJP21"/>
      <c r="HJQ21"/>
      <c r="HJR21"/>
      <c r="HJS21"/>
      <c r="HJT21"/>
      <c r="HJU21"/>
      <c r="HJV21"/>
      <c r="HJW21"/>
      <c r="HJX21"/>
      <c r="HJY21"/>
      <c r="HJZ21"/>
      <c r="HKA21"/>
      <c r="HKB21"/>
      <c r="HKC21"/>
      <c r="HKD21"/>
      <c r="HKE21"/>
      <c r="HKF21"/>
      <c r="HKG21"/>
      <c r="HKH21"/>
      <c r="HKI21"/>
      <c r="HKJ21"/>
      <c r="HKK21"/>
      <c r="HKL21"/>
      <c r="HKM21"/>
      <c r="HKN21"/>
      <c r="HKO21"/>
      <c r="HKP21"/>
      <c r="HKQ21"/>
      <c r="HKR21"/>
      <c r="HKS21"/>
      <c r="HKT21"/>
      <c r="HKU21"/>
      <c r="HKV21"/>
      <c r="HKW21"/>
      <c r="HKX21"/>
      <c r="HKY21"/>
      <c r="HKZ21"/>
      <c r="HLA21"/>
      <c r="HLB21"/>
      <c r="HLC21"/>
      <c r="HLD21"/>
      <c r="HLE21"/>
      <c r="HLF21"/>
      <c r="HLG21"/>
      <c r="HLH21"/>
      <c r="HLI21"/>
      <c r="HLJ21"/>
      <c r="HLK21"/>
      <c r="HLL21"/>
      <c r="HLM21"/>
      <c r="HLN21"/>
      <c r="HLO21"/>
      <c r="HLP21"/>
      <c r="HLQ21"/>
      <c r="HLR21"/>
      <c r="HLS21"/>
      <c r="HLT21"/>
      <c r="HLU21"/>
      <c r="HLV21"/>
      <c r="HLW21"/>
      <c r="HLX21"/>
      <c r="HLY21"/>
      <c r="HLZ21"/>
      <c r="HMA21"/>
      <c r="HMB21"/>
      <c r="HMC21"/>
      <c r="HMD21"/>
      <c r="HME21"/>
      <c r="HMF21"/>
      <c r="HMG21"/>
      <c r="HMH21"/>
      <c r="HMI21"/>
      <c r="HMJ21"/>
      <c r="HMK21"/>
      <c r="HML21"/>
      <c r="HMM21"/>
      <c r="HMN21"/>
      <c r="HMO21"/>
      <c r="HMP21"/>
      <c r="HMQ21"/>
      <c r="HMR21"/>
      <c r="HMS21"/>
      <c r="HMT21"/>
      <c r="HMU21"/>
      <c r="HMV21"/>
      <c r="HMW21"/>
      <c r="HMX21"/>
      <c r="HMY21"/>
      <c r="HMZ21"/>
      <c r="HNA21"/>
      <c r="HNB21"/>
      <c r="HNC21"/>
      <c r="HND21"/>
      <c r="HNE21"/>
      <c r="HNF21"/>
      <c r="HNG21"/>
      <c r="HNH21"/>
      <c r="HNI21"/>
      <c r="HNJ21"/>
      <c r="HNK21"/>
      <c r="HNL21"/>
      <c r="HNM21"/>
      <c r="HNN21"/>
      <c r="HNO21"/>
      <c r="HNP21"/>
      <c r="HNQ21"/>
      <c r="HNR21"/>
      <c r="HNS21"/>
      <c r="HNT21"/>
      <c r="HNU21"/>
      <c r="HNV21"/>
      <c r="HNW21"/>
      <c r="HNX21"/>
      <c r="HNY21"/>
      <c r="HNZ21"/>
      <c r="HOA21"/>
      <c r="HOB21"/>
      <c r="HOC21"/>
      <c r="HOD21"/>
      <c r="HOE21"/>
      <c r="HOF21"/>
      <c r="HOG21"/>
      <c r="HOH21"/>
      <c r="HOI21"/>
      <c r="HOJ21"/>
      <c r="HOK21"/>
      <c r="HOL21"/>
      <c r="HOM21"/>
      <c r="HON21"/>
      <c r="HOO21"/>
      <c r="HOP21"/>
      <c r="HOQ21"/>
      <c r="HOR21"/>
      <c r="HOS21"/>
      <c r="HOT21"/>
      <c r="HOU21"/>
      <c r="HOV21"/>
      <c r="HOW21"/>
      <c r="HOX21"/>
      <c r="HOY21"/>
      <c r="HOZ21"/>
      <c r="HPA21"/>
      <c r="HPB21"/>
      <c r="HPC21"/>
      <c r="HPD21"/>
      <c r="HPE21"/>
      <c r="HPF21"/>
      <c r="HPG21"/>
      <c r="HPH21"/>
      <c r="HPI21"/>
      <c r="HPJ21"/>
      <c r="HPK21"/>
      <c r="HPL21"/>
      <c r="HPM21"/>
      <c r="HPN21"/>
      <c r="HPO21"/>
      <c r="HPP21"/>
      <c r="HPQ21"/>
      <c r="HPR21"/>
      <c r="HPS21"/>
      <c r="HPT21"/>
      <c r="HPU21"/>
      <c r="HPV21"/>
      <c r="HPW21"/>
      <c r="HPX21"/>
      <c r="HPY21"/>
      <c r="HPZ21"/>
      <c r="HQA21"/>
      <c r="HQB21"/>
      <c r="HQC21"/>
      <c r="HQD21"/>
      <c r="HQE21"/>
      <c r="HQF21"/>
      <c r="HQG21"/>
      <c r="HQH21"/>
      <c r="HQI21"/>
      <c r="HQJ21"/>
      <c r="HQK21"/>
      <c r="HQL21"/>
      <c r="HQM21"/>
      <c r="HQN21"/>
      <c r="HQO21"/>
      <c r="HQP21"/>
      <c r="HQQ21"/>
      <c r="HQR21"/>
      <c r="HQS21"/>
      <c r="HQT21"/>
      <c r="HQU21"/>
      <c r="HQV21"/>
      <c r="HQW21"/>
      <c r="HQX21"/>
      <c r="HQY21"/>
      <c r="HQZ21"/>
      <c r="HRA21"/>
      <c r="HRB21"/>
      <c r="HRC21"/>
      <c r="HRD21"/>
      <c r="HRE21"/>
      <c r="HRF21"/>
      <c r="HRG21"/>
      <c r="HRH21"/>
      <c r="HRI21"/>
      <c r="HRJ21"/>
      <c r="HRK21"/>
      <c r="HRL21"/>
      <c r="HRM21"/>
      <c r="HRN21"/>
      <c r="HRO21"/>
      <c r="HRP21"/>
      <c r="HRQ21"/>
      <c r="HRR21"/>
      <c r="HRS21"/>
      <c r="HRT21"/>
      <c r="HRU21"/>
      <c r="HRV21"/>
      <c r="HRW21"/>
      <c r="HRX21"/>
      <c r="HRY21"/>
      <c r="HRZ21"/>
      <c r="HSA21"/>
      <c r="HSB21"/>
      <c r="HSC21"/>
      <c r="HSD21"/>
      <c r="HSE21"/>
      <c r="HSF21"/>
      <c r="HSG21"/>
      <c r="HSH21"/>
      <c r="HSI21"/>
      <c r="HSJ21"/>
      <c r="HSK21"/>
      <c r="HSL21"/>
      <c r="HSM21"/>
      <c r="HSN21"/>
      <c r="HSO21"/>
      <c r="HSP21"/>
      <c r="HSQ21"/>
      <c r="HSR21"/>
      <c r="HSS21"/>
      <c r="HST21"/>
      <c r="HSU21"/>
      <c r="HSV21"/>
      <c r="HSW21"/>
      <c r="HSX21"/>
      <c r="HSY21"/>
      <c r="HSZ21"/>
      <c r="HTA21"/>
      <c r="HTB21"/>
      <c r="HTC21"/>
      <c r="HTD21"/>
      <c r="HTE21"/>
      <c r="HTF21"/>
      <c r="HTG21"/>
      <c r="HTH21"/>
      <c r="HTI21"/>
      <c r="HTJ21"/>
      <c r="HTK21"/>
      <c r="HTL21"/>
      <c r="HTM21"/>
      <c r="HTN21"/>
      <c r="HTO21"/>
      <c r="HTP21"/>
      <c r="HTQ21"/>
      <c r="HTR21"/>
      <c r="HTS21"/>
      <c r="HTT21"/>
      <c r="HTU21"/>
      <c r="HTV21"/>
      <c r="HTW21"/>
      <c r="HTX21"/>
      <c r="HTY21"/>
      <c r="HTZ21"/>
      <c r="HUA21"/>
      <c r="HUB21"/>
      <c r="HUC21"/>
      <c r="HUD21"/>
      <c r="HUE21"/>
      <c r="HUF21"/>
      <c r="HUG21"/>
      <c r="HUH21"/>
      <c r="HUI21"/>
      <c r="HUJ21"/>
      <c r="HUK21"/>
      <c r="HUL21"/>
      <c r="HUM21"/>
      <c r="HUN21"/>
      <c r="HUO21"/>
      <c r="HUP21"/>
      <c r="HUQ21"/>
      <c r="HUR21"/>
      <c r="HUS21"/>
      <c r="HUT21"/>
      <c r="HUU21"/>
      <c r="HUV21"/>
      <c r="HUW21"/>
      <c r="HUX21"/>
      <c r="HUY21"/>
      <c r="HUZ21"/>
      <c r="HVA21"/>
      <c r="HVB21"/>
      <c r="HVC21"/>
      <c r="HVD21"/>
      <c r="HVE21"/>
      <c r="HVF21"/>
      <c r="HVG21"/>
      <c r="HVH21"/>
      <c r="HVI21"/>
      <c r="HVJ21"/>
      <c r="HVK21"/>
      <c r="HVL21"/>
      <c r="HVM21"/>
      <c r="HVN21"/>
      <c r="HVO21"/>
      <c r="HVP21"/>
      <c r="HVQ21"/>
      <c r="HVR21"/>
      <c r="HVS21"/>
      <c r="HVT21"/>
      <c r="HVU21"/>
      <c r="HVV21"/>
      <c r="HVW21"/>
      <c r="HVX21"/>
      <c r="HVY21"/>
      <c r="HVZ21"/>
      <c r="HWA21"/>
      <c r="HWB21"/>
      <c r="HWC21"/>
      <c r="HWD21"/>
      <c r="HWE21"/>
      <c r="HWF21"/>
      <c r="HWG21"/>
      <c r="HWH21"/>
      <c r="HWI21"/>
      <c r="HWJ21"/>
      <c r="HWK21"/>
      <c r="HWL21"/>
      <c r="HWM21"/>
      <c r="HWN21"/>
      <c r="HWO21"/>
      <c r="HWP21"/>
      <c r="HWQ21"/>
      <c r="HWR21"/>
      <c r="HWS21"/>
      <c r="HWT21"/>
      <c r="HWU21"/>
      <c r="HWV21"/>
      <c r="HWW21"/>
      <c r="HWX21"/>
      <c r="HWY21"/>
      <c r="HWZ21"/>
      <c r="HXA21"/>
      <c r="HXB21"/>
      <c r="HXC21"/>
      <c r="HXD21"/>
      <c r="HXE21"/>
      <c r="HXF21"/>
      <c r="HXG21"/>
      <c r="HXH21"/>
      <c r="HXI21"/>
      <c r="HXJ21"/>
      <c r="HXK21"/>
      <c r="HXL21"/>
      <c r="HXM21"/>
      <c r="HXN21"/>
      <c r="HXO21"/>
      <c r="HXP21"/>
      <c r="HXQ21"/>
      <c r="HXR21"/>
      <c r="HXS21"/>
      <c r="HXT21"/>
      <c r="HXU21"/>
      <c r="HXV21"/>
      <c r="HXW21"/>
      <c r="HXX21"/>
      <c r="HXY21"/>
      <c r="HXZ21"/>
      <c r="HYA21"/>
      <c r="HYB21"/>
      <c r="HYC21"/>
      <c r="HYD21"/>
      <c r="HYE21"/>
      <c r="HYF21"/>
      <c r="HYG21"/>
      <c r="HYH21"/>
      <c r="HYI21"/>
      <c r="HYJ21"/>
      <c r="HYK21"/>
      <c r="HYL21"/>
      <c r="HYM21"/>
      <c r="HYN21"/>
      <c r="HYO21"/>
      <c r="HYP21"/>
      <c r="HYQ21"/>
      <c r="HYR21"/>
      <c r="HYS21"/>
      <c r="HYT21"/>
      <c r="HYU21"/>
      <c r="HYV21"/>
      <c r="HYW21"/>
      <c r="HYX21"/>
      <c r="HYY21"/>
      <c r="HYZ21"/>
      <c r="HZA21"/>
      <c r="HZB21"/>
      <c r="HZC21"/>
      <c r="HZD21"/>
      <c r="HZE21"/>
      <c r="HZF21"/>
      <c r="HZG21"/>
      <c r="HZH21"/>
      <c r="HZI21"/>
      <c r="HZJ21"/>
      <c r="HZK21"/>
      <c r="HZL21"/>
      <c r="HZM21"/>
      <c r="HZN21"/>
      <c r="HZO21"/>
      <c r="HZP21"/>
      <c r="HZQ21"/>
      <c r="HZR21"/>
      <c r="HZS21"/>
      <c r="HZT21"/>
      <c r="HZU21"/>
      <c r="HZV21"/>
      <c r="HZW21"/>
      <c r="HZX21"/>
      <c r="HZY21"/>
      <c r="HZZ21"/>
      <c r="IAA21"/>
      <c r="IAB21"/>
      <c r="IAC21"/>
      <c r="IAD21"/>
      <c r="IAE21"/>
      <c r="IAF21"/>
      <c r="IAG21"/>
      <c r="IAH21"/>
      <c r="IAI21"/>
      <c r="IAJ21"/>
      <c r="IAK21"/>
      <c r="IAL21"/>
      <c r="IAM21"/>
      <c r="IAN21"/>
      <c r="IAO21"/>
      <c r="IAP21"/>
      <c r="IAQ21"/>
      <c r="IAR21"/>
      <c r="IAS21"/>
      <c r="IAT21"/>
      <c r="IAU21"/>
      <c r="IAV21"/>
      <c r="IAW21"/>
      <c r="IAX21"/>
      <c r="IAY21"/>
      <c r="IAZ21"/>
      <c r="IBA21"/>
      <c r="IBB21"/>
      <c r="IBC21"/>
      <c r="IBD21"/>
      <c r="IBE21"/>
      <c r="IBF21"/>
      <c r="IBG21"/>
      <c r="IBH21"/>
      <c r="IBI21"/>
      <c r="IBJ21"/>
      <c r="IBK21"/>
      <c r="IBL21"/>
      <c r="IBM21"/>
      <c r="IBN21"/>
      <c r="IBO21"/>
      <c r="IBP21"/>
      <c r="IBQ21"/>
      <c r="IBR21"/>
      <c r="IBS21"/>
      <c r="IBT21"/>
      <c r="IBU21"/>
      <c r="IBV21"/>
      <c r="IBW21"/>
      <c r="IBX21"/>
      <c r="IBY21"/>
      <c r="IBZ21"/>
      <c r="ICA21"/>
      <c r="ICB21"/>
      <c r="ICC21"/>
      <c r="ICD21"/>
      <c r="ICE21"/>
      <c r="ICF21"/>
      <c r="ICG21"/>
      <c r="ICH21"/>
      <c r="ICI21"/>
      <c r="ICJ21"/>
      <c r="ICK21"/>
      <c r="ICL21"/>
      <c r="ICM21"/>
      <c r="ICN21"/>
      <c r="ICO21"/>
      <c r="ICP21"/>
      <c r="ICQ21"/>
      <c r="ICR21"/>
      <c r="ICS21"/>
      <c r="ICT21"/>
      <c r="ICU21"/>
      <c r="ICV21"/>
      <c r="ICW21"/>
      <c r="ICX21"/>
      <c r="ICY21"/>
      <c r="ICZ21"/>
      <c r="IDA21"/>
      <c r="IDB21"/>
      <c r="IDC21"/>
      <c r="IDD21"/>
      <c r="IDE21"/>
      <c r="IDF21"/>
      <c r="IDG21"/>
      <c r="IDH21"/>
      <c r="IDI21"/>
      <c r="IDJ21"/>
      <c r="IDK21"/>
      <c r="IDL21"/>
      <c r="IDM21"/>
      <c r="IDN21"/>
      <c r="IDO21"/>
      <c r="IDP21"/>
      <c r="IDQ21"/>
      <c r="IDR21"/>
      <c r="IDS21"/>
      <c r="IDT21"/>
      <c r="IDU21"/>
      <c r="IDV21"/>
      <c r="IDW21"/>
      <c r="IDX21"/>
      <c r="IDY21"/>
      <c r="IDZ21"/>
      <c r="IEA21"/>
      <c r="IEB21"/>
      <c r="IEC21"/>
      <c r="IED21"/>
      <c r="IEE21"/>
      <c r="IEF21"/>
      <c r="IEG21"/>
      <c r="IEH21"/>
      <c r="IEI21"/>
      <c r="IEJ21"/>
      <c r="IEK21"/>
      <c r="IEL21"/>
      <c r="IEM21"/>
      <c r="IEN21"/>
      <c r="IEO21"/>
      <c r="IEP21"/>
      <c r="IEQ21"/>
      <c r="IER21"/>
      <c r="IES21"/>
      <c r="IET21"/>
      <c r="IEU21"/>
      <c r="IEV21"/>
      <c r="IEW21"/>
      <c r="IEX21"/>
      <c r="IEY21"/>
      <c r="IEZ21"/>
      <c r="IFA21"/>
      <c r="IFB21"/>
      <c r="IFC21"/>
      <c r="IFD21"/>
      <c r="IFE21"/>
      <c r="IFF21"/>
      <c r="IFG21"/>
      <c r="IFH21"/>
      <c r="IFI21"/>
      <c r="IFJ21"/>
      <c r="IFK21"/>
      <c r="IFL21"/>
      <c r="IFM21"/>
      <c r="IFN21"/>
      <c r="IFO21"/>
      <c r="IFP21"/>
      <c r="IFQ21"/>
      <c r="IFR21"/>
      <c r="IFS21"/>
      <c r="IFT21"/>
      <c r="IFU21"/>
      <c r="IFV21"/>
      <c r="IFW21"/>
      <c r="IFX21"/>
      <c r="IFY21"/>
      <c r="IFZ21"/>
      <c r="IGA21"/>
      <c r="IGB21"/>
      <c r="IGC21"/>
      <c r="IGD21"/>
      <c r="IGE21"/>
      <c r="IGF21"/>
      <c r="IGG21"/>
      <c r="IGH21"/>
      <c r="IGI21"/>
      <c r="IGJ21"/>
      <c r="IGK21"/>
      <c r="IGL21"/>
      <c r="IGM21"/>
      <c r="IGN21"/>
      <c r="IGO21"/>
      <c r="IGP21"/>
      <c r="IGQ21"/>
      <c r="IGR21"/>
      <c r="IGS21"/>
      <c r="IGT21"/>
      <c r="IGU21"/>
      <c r="IGV21"/>
      <c r="IGW21"/>
      <c r="IGX21"/>
      <c r="IGY21"/>
      <c r="IGZ21"/>
      <c r="IHA21"/>
      <c r="IHB21"/>
      <c r="IHC21"/>
      <c r="IHD21"/>
      <c r="IHE21"/>
      <c r="IHF21"/>
      <c r="IHG21"/>
      <c r="IHH21"/>
      <c r="IHI21"/>
      <c r="IHJ21"/>
      <c r="IHK21"/>
      <c r="IHL21"/>
      <c r="IHM21"/>
      <c r="IHN21"/>
      <c r="IHO21"/>
      <c r="IHP21"/>
      <c r="IHQ21"/>
      <c r="IHR21"/>
      <c r="IHS21"/>
      <c r="IHT21"/>
      <c r="IHU21"/>
      <c r="IHV21"/>
      <c r="IHW21"/>
      <c r="IHX21"/>
      <c r="IHY21"/>
      <c r="IHZ21"/>
      <c r="IIA21"/>
      <c r="IIB21"/>
      <c r="IIC21"/>
      <c r="IID21"/>
      <c r="IIE21"/>
      <c r="IIF21"/>
      <c r="IIG21"/>
      <c r="IIH21"/>
      <c r="III21"/>
      <c r="IIJ21"/>
      <c r="IIK21"/>
      <c r="IIL21"/>
      <c r="IIM21"/>
      <c r="IIN21"/>
      <c r="IIO21"/>
      <c r="IIP21"/>
      <c r="IIQ21"/>
      <c r="IIR21"/>
      <c r="IIS21"/>
      <c r="IIT21"/>
      <c r="IIU21"/>
      <c r="IIV21"/>
      <c r="IIW21"/>
      <c r="IIX21"/>
      <c r="IIY21"/>
      <c r="IIZ21"/>
      <c r="IJA21"/>
      <c r="IJB21"/>
      <c r="IJC21"/>
      <c r="IJD21"/>
      <c r="IJE21"/>
      <c r="IJF21"/>
      <c r="IJG21"/>
      <c r="IJH21"/>
      <c r="IJI21"/>
      <c r="IJJ21"/>
      <c r="IJK21"/>
      <c r="IJL21"/>
      <c r="IJM21"/>
      <c r="IJN21"/>
      <c r="IJO21"/>
      <c r="IJP21"/>
      <c r="IJQ21"/>
      <c r="IJR21"/>
      <c r="IJS21"/>
      <c r="IJT21"/>
      <c r="IJU21"/>
      <c r="IJV21"/>
      <c r="IJW21"/>
      <c r="IJX21"/>
      <c r="IJY21"/>
      <c r="IJZ21"/>
      <c r="IKA21"/>
      <c r="IKB21"/>
      <c r="IKC21"/>
      <c r="IKD21"/>
      <c r="IKE21"/>
      <c r="IKF21"/>
      <c r="IKG21"/>
      <c r="IKH21"/>
      <c r="IKI21"/>
      <c r="IKJ21"/>
      <c r="IKK21"/>
      <c r="IKL21"/>
      <c r="IKM21"/>
      <c r="IKN21"/>
      <c r="IKO21"/>
      <c r="IKP21"/>
      <c r="IKQ21"/>
      <c r="IKR21"/>
      <c r="IKS21"/>
      <c r="IKT21"/>
      <c r="IKU21"/>
      <c r="IKV21"/>
      <c r="IKW21"/>
      <c r="IKX21"/>
      <c r="IKY21"/>
      <c r="IKZ21"/>
      <c r="ILA21"/>
      <c r="ILB21"/>
      <c r="ILC21"/>
      <c r="ILD21"/>
      <c r="ILE21"/>
      <c r="ILF21"/>
      <c r="ILG21"/>
      <c r="ILH21"/>
      <c r="ILI21"/>
      <c r="ILJ21"/>
      <c r="ILK21"/>
      <c r="ILL21"/>
      <c r="ILM21"/>
      <c r="ILN21"/>
      <c r="ILO21"/>
      <c r="ILP21"/>
      <c r="ILQ21"/>
      <c r="ILR21"/>
      <c r="ILS21"/>
      <c r="ILT21"/>
      <c r="ILU21"/>
      <c r="ILV21"/>
      <c r="ILW21"/>
      <c r="ILX21"/>
      <c r="ILY21"/>
      <c r="ILZ21"/>
      <c r="IMA21"/>
      <c r="IMB21"/>
      <c r="IMC21"/>
      <c r="IMD21"/>
      <c r="IME21"/>
      <c r="IMF21"/>
      <c r="IMG21"/>
      <c r="IMH21"/>
      <c r="IMI21"/>
      <c r="IMJ21"/>
      <c r="IMK21"/>
      <c r="IML21"/>
      <c r="IMM21"/>
      <c r="IMN21"/>
      <c r="IMO21"/>
      <c r="IMP21"/>
      <c r="IMQ21"/>
      <c r="IMR21"/>
      <c r="IMS21"/>
      <c r="IMT21"/>
      <c r="IMU21"/>
      <c r="IMV21"/>
      <c r="IMW21"/>
      <c r="IMX21"/>
      <c r="IMY21"/>
      <c r="IMZ21"/>
      <c r="INA21"/>
      <c r="INB21"/>
      <c r="INC21"/>
      <c r="IND21"/>
      <c r="INE21"/>
      <c r="INF21"/>
      <c r="ING21"/>
      <c r="INH21"/>
      <c r="INI21"/>
      <c r="INJ21"/>
      <c r="INK21"/>
      <c r="INL21"/>
      <c r="INM21"/>
      <c r="INN21"/>
      <c r="INO21"/>
      <c r="INP21"/>
      <c r="INQ21"/>
      <c r="INR21"/>
      <c r="INS21"/>
      <c r="INT21"/>
      <c r="INU21"/>
      <c r="INV21"/>
      <c r="INW21"/>
      <c r="INX21"/>
      <c r="INY21"/>
      <c r="INZ21"/>
      <c r="IOA21"/>
      <c r="IOB21"/>
      <c r="IOC21"/>
      <c r="IOD21"/>
      <c r="IOE21"/>
      <c r="IOF21"/>
      <c r="IOG21"/>
      <c r="IOH21"/>
      <c r="IOI21"/>
      <c r="IOJ21"/>
      <c r="IOK21"/>
      <c r="IOL21"/>
      <c r="IOM21"/>
      <c r="ION21"/>
      <c r="IOO21"/>
      <c r="IOP21"/>
      <c r="IOQ21"/>
      <c r="IOR21"/>
      <c r="IOS21"/>
      <c r="IOT21"/>
      <c r="IOU21"/>
      <c r="IOV21"/>
      <c r="IOW21"/>
      <c r="IOX21"/>
      <c r="IOY21"/>
      <c r="IOZ21"/>
      <c r="IPA21"/>
      <c r="IPB21"/>
      <c r="IPC21"/>
      <c r="IPD21"/>
      <c r="IPE21"/>
      <c r="IPF21"/>
      <c r="IPG21"/>
      <c r="IPH21"/>
      <c r="IPI21"/>
      <c r="IPJ21"/>
      <c r="IPK21"/>
      <c r="IPL21"/>
      <c r="IPM21"/>
      <c r="IPN21"/>
      <c r="IPO21"/>
      <c r="IPP21"/>
      <c r="IPQ21"/>
      <c r="IPR21"/>
      <c r="IPS21"/>
      <c r="IPT21"/>
      <c r="IPU21"/>
      <c r="IPV21"/>
      <c r="IPW21"/>
      <c r="IPX21"/>
      <c r="IPY21"/>
      <c r="IPZ21"/>
      <c r="IQA21"/>
      <c r="IQB21"/>
      <c r="IQC21"/>
      <c r="IQD21"/>
      <c r="IQE21"/>
      <c r="IQF21"/>
      <c r="IQG21"/>
      <c r="IQH21"/>
      <c r="IQI21"/>
      <c r="IQJ21"/>
      <c r="IQK21"/>
      <c r="IQL21"/>
      <c r="IQM21"/>
      <c r="IQN21"/>
      <c r="IQO21"/>
      <c r="IQP21"/>
      <c r="IQQ21"/>
      <c r="IQR21"/>
      <c r="IQS21"/>
      <c r="IQT21"/>
      <c r="IQU21"/>
      <c r="IQV21"/>
      <c r="IQW21"/>
      <c r="IQX21"/>
      <c r="IQY21"/>
      <c r="IQZ21"/>
      <c r="IRA21"/>
      <c r="IRB21"/>
      <c r="IRC21"/>
      <c r="IRD21"/>
      <c r="IRE21"/>
      <c r="IRF21"/>
      <c r="IRG21"/>
      <c r="IRH21"/>
      <c r="IRI21"/>
      <c r="IRJ21"/>
      <c r="IRK21"/>
      <c r="IRL21"/>
      <c r="IRM21"/>
      <c r="IRN21"/>
      <c r="IRO21"/>
      <c r="IRP21"/>
      <c r="IRQ21"/>
      <c r="IRR21"/>
      <c r="IRS21"/>
      <c r="IRT21"/>
      <c r="IRU21"/>
      <c r="IRV21"/>
      <c r="IRW21"/>
      <c r="IRX21"/>
      <c r="IRY21"/>
      <c r="IRZ21"/>
      <c r="ISA21"/>
      <c r="ISB21"/>
      <c r="ISC21"/>
      <c r="ISD21"/>
      <c r="ISE21"/>
      <c r="ISF21"/>
      <c r="ISG21"/>
      <c r="ISH21"/>
      <c r="ISI21"/>
      <c r="ISJ21"/>
      <c r="ISK21"/>
      <c r="ISL21"/>
      <c r="ISM21"/>
      <c r="ISN21"/>
      <c r="ISO21"/>
      <c r="ISP21"/>
      <c r="ISQ21"/>
      <c r="ISR21"/>
      <c r="ISS21"/>
      <c r="IST21"/>
      <c r="ISU21"/>
      <c r="ISV21"/>
      <c r="ISW21"/>
      <c r="ISX21"/>
      <c r="ISY21"/>
      <c r="ISZ21"/>
      <c r="ITA21"/>
      <c r="ITB21"/>
      <c r="ITC21"/>
      <c r="ITD21"/>
      <c r="ITE21"/>
      <c r="ITF21"/>
      <c r="ITG21"/>
      <c r="ITH21"/>
      <c r="ITI21"/>
      <c r="ITJ21"/>
      <c r="ITK21"/>
      <c r="ITL21"/>
      <c r="ITM21"/>
      <c r="ITN21"/>
      <c r="ITO21"/>
      <c r="ITP21"/>
      <c r="ITQ21"/>
      <c r="ITR21"/>
      <c r="ITS21"/>
      <c r="ITT21"/>
      <c r="ITU21"/>
      <c r="ITV21"/>
      <c r="ITW21"/>
      <c r="ITX21"/>
      <c r="ITY21"/>
      <c r="ITZ21"/>
      <c r="IUA21"/>
      <c r="IUB21"/>
      <c r="IUC21"/>
      <c r="IUD21"/>
      <c r="IUE21"/>
      <c r="IUF21"/>
      <c r="IUG21"/>
      <c r="IUH21"/>
      <c r="IUI21"/>
      <c r="IUJ21"/>
      <c r="IUK21"/>
      <c r="IUL21"/>
      <c r="IUM21"/>
      <c r="IUN21"/>
      <c r="IUO21"/>
      <c r="IUP21"/>
      <c r="IUQ21"/>
      <c r="IUR21"/>
      <c r="IUS21"/>
      <c r="IUT21"/>
      <c r="IUU21"/>
      <c r="IUV21"/>
      <c r="IUW21"/>
      <c r="IUX21"/>
      <c r="IUY21"/>
      <c r="IUZ21"/>
      <c r="IVA21"/>
      <c r="IVB21"/>
      <c r="IVC21"/>
      <c r="IVD21"/>
      <c r="IVE21"/>
      <c r="IVF21"/>
      <c r="IVG21"/>
      <c r="IVH21"/>
      <c r="IVI21"/>
      <c r="IVJ21"/>
      <c r="IVK21"/>
      <c r="IVL21"/>
      <c r="IVM21"/>
      <c r="IVN21"/>
      <c r="IVO21"/>
      <c r="IVP21"/>
      <c r="IVQ21"/>
      <c r="IVR21"/>
      <c r="IVS21"/>
      <c r="IVT21"/>
      <c r="IVU21"/>
      <c r="IVV21"/>
      <c r="IVW21"/>
      <c r="IVX21"/>
      <c r="IVY21"/>
      <c r="IVZ21"/>
      <c r="IWA21"/>
      <c r="IWB21"/>
      <c r="IWC21"/>
      <c r="IWD21"/>
      <c r="IWE21"/>
      <c r="IWF21"/>
      <c r="IWG21"/>
      <c r="IWH21"/>
      <c r="IWI21"/>
      <c r="IWJ21"/>
      <c r="IWK21"/>
      <c r="IWL21"/>
      <c r="IWM21"/>
      <c r="IWN21"/>
      <c r="IWO21"/>
      <c r="IWP21"/>
      <c r="IWQ21"/>
      <c r="IWR21"/>
      <c r="IWS21"/>
      <c r="IWT21"/>
      <c r="IWU21"/>
      <c r="IWV21"/>
      <c r="IWW21"/>
      <c r="IWX21"/>
      <c r="IWY21"/>
      <c r="IWZ21"/>
      <c r="IXA21"/>
      <c r="IXB21"/>
      <c r="IXC21"/>
      <c r="IXD21"/>
      <c r="IXE21"/>
      <c r="IXF21"/>
      <c r="IXG21"/>
      <c r="IXH21"/>
      <c r="IXI21"/>
      <c r="IXJ21"/>
      <c r="IXK21"/>
      <c r="IXL21"/>
      <c r="IXM21"/>
      <c r="IXN21"/>
      <c r="IXO21"/>
      <c r="IXP21"/>
      <c r="IXQ21"/>
      <c r="IXR21"/>
      <c r="IXS21"/>
      <c r="IXT21"/>
      <c r="IXU21"/>
      <c r="IXV21"/>
      <c r="IXW21"/>
      <c r="IXX21"/>
      <c r="IXY21"/>
      <c r="IXZ21"/>
      <c r="IYA21"/>
      <c r="IYB21"/>
      <c r="IYC21"/>
      <c r="IYD21"/>
      <c r="IYE21"/>
      <c r="IYF21"/>
      <c r="IYG21"/>
      <c r="IYH21"/>
      <c r="IYI21"/>
      <c r="IYJ21"/>
      <c r="IYK21"/>
      <c r="IYL21"/>
      <c r="IYM21"/>
      <c r="IYN21"/>
      <c r="IYO21"/>
      <c r="IYP21"/>
      <c r="IYQ21"/>
      <c r="IYR21"/>
      <c r="IYS21"/>
      <c r="IYT21"/>
      <c r="IYU21"/>
      <c r="IYV21"/>
      <c r="IYW21"/>
      <c r="IYX21"/>
      <c r="IYY21"/>
      <c r="IYZ21"/>
      <c r="IZA21"/>
      <c r="IZB21"/>
      <c r="IZC21"/>
      <c r="IZD21"/>
      <c r="IZE21"/>
      <c r="IZF21"/>
      <c r="IZG21"/>
      <c r="IZH21"/>
      <c r="IZI21"/>
      <c r="IZJ21"/>
      <c r="IZK21"/>
      <c r="IZL21"/>
      <c r="IZM21"/>
      <c r="IZN21"/>
      <c r="IZO21"/>
      <c r="IZP21"/>
      <c r="IZQ21"/>
      <c r="IZR21"/>
      <c r="IZS21"/>
      <c r="IZT21"/>
      <c r="IZU21"/>
      <c r="IZV21"/>
      <c r="IZW21"/>
      <c r="IZX21"/>
      <c r="IZY21"/>
      <c r="IZZ21"/>
      <c r="JAA21"/>
      <c r="JAB21"/>
      <c r="JAC21"/>
      <c r="JAD21"/>
      <c r="JAE21"/>
      <c r="JAF21"/>
      <c r="JAG21"/>
      <c r="JAH21"/>
      <c r="JAI21"/>
      <c r="JAJ21"/>
      <c r="JAK21"/>
      <c r="JAL21"/>
      <c r="JAM21"/>
      <c r="JAN21"/>
      <c r="JAO21"/>
      <c r="JAP21"/>
      <c r="JAQ21"/>
      <c r="JAR21"/>
      <c r="JAS21"/>
      <c r="JAT21"/>
      <c r="JAU21"/>
      <c r="JAV21"/>
      <c r="JAW21"/>
      <c r="JAX21"/>
      <c r="JAY21"/>
      <c r="JAZ21"/>
      <c r="JBA21"/>
      <c r="JBB21"/>
      <c r="JBC21"/>
      <c r="JBD21"/>
      <c r="JBE21"/>
      <c r="JBF21"/>
      <c r="JBG21"/>
      <c r="JBH21"/>
      <c r="JBI21"/>
      <c r="JBJ21"/>
      <c r="JBK21"/>
      <c r="JBL21"/>
      <c r="JBM21"/>
      <c r="JBN21"/>
      <c r="JBO21"/>
      <c r="JBP21"/>
      <c r="JBQ21"/>
      <c r="JBR21"/>
      <c r="JBS21"/>
      <c r="JBT21"/>
      <c r="JBU21"/>
      <c r="JBV21"/>
      <c r="JBW21"/>
      <c r="JBX21"/>
      <c r="JBY21"/>
      <c r="JBZ21"/>
      <c r="JCA21"/>
      <c r="JCB21"/>
      <c r="JCC21"/>
      <c r="JCD21"/>
      <c r="JCE21"/>
      <c r="JCF21"/>
      <c r="JCG21"/>
      <c r="JCH21"/>
      <c r="JCI21"/>
      <c r="JCJ21"/>
      <c r="JCK21"/>
      <c r="JCL21"/>
      <c r="JCM21"/>
      <c r="JCN21"/>
      <c r="JCO21"/>
      <c r="JCP21"/>
      <c r="JCQ21"/>
      <c r="JCR21"/>
      <c r="JCS21"/>
      <c r="JCT21"/>
      <c r="JCU21"/>
      <c r="JCV21"/>
      <c r="JCW21"/>
      <c r="JCX21"/>
      <c r="JCY21"/>
      <c r="JCZ21"/>
      <c r="JDA21"/>
      <c r="JDB21"/>
      <c r="JDC21"/>
      <c r="JDD21"/>
      <c r="JDE21"/>
      <c r="JDF21"/>
      <c r="JDG21"/>
      <c r="JDH21"/>
      <c r="JDI21"/>
      <c r="JDJ21"/>
      <c r="JDK21"/>
      <c r="JDL21"/>
      <c r="JDM21"/>
      <c r="JDN21"/>
      <c r="JDO21"/>
      <c r="JDP21"/>
      <c r="JDQ21"/>
      <c r="JDR21"/>
      <c r="JDS21"/>
      <c r="JDT21"/>
      <c r="JDU21"/>
      <c r="JDV21"/>
      <c r="JDW21"/>
      <c r="JDX21"/>
      <c r="JDY21"/>
      <c r="JDZ21"/>
      <c r="JEA21"/>
      <c r="JEB21"/>
      <c r="JEC21"/>
      <c r="JED21"/>
      <c r="JEE21"/>
      <c r="JEF21"/>
      <c r="JEG21"/>
      <c r="JEH21"/>
      <c r="JEI21"/>
      <c r="JEJ21"/>
      <c r="JEK21"/>
      <c r="JEL21"/>
      <c r="JEM21"/>
      <c r="JEN21"/>
      <c r="JEO21"/>
      <c r="JEP21"/>
      <c r="JEQ21"/>
      <c r="JER21"/>
      <c r="JES21"/>
      <c r="JET21"/>
      <c r="JEU21"/>
      <c r="JEV21"/>
      <c r="JEW21"/>
      <c r="JEX21"/>
      <c r="JEY21"/>
      <c r="JEZ21"/>
      <c r="JFA21"/>
      <c r="JFB21"/>
      <c r="JFC21"/>
      <c r="JFD21"/>
      <c r="JFE21"/>
      <c r="JFF21"/>
      <c r="JFG21"/>
      <c r="JFH21"/>
      <c r="JFI21"/>
      <c r="JFJ21"/>
      <c r="JFK21"/>
      <c r="JFL21"/>
      <c r="JFM21"/>
      <c r="JFN21"/>
      <c r="JFO21"/>
      <c r="JFP21"/>
      <c r="JFQ21"/>
      <c r="JFR21"/>
      <c r="JFS21"/>
      <c r="JFT21"/>
      <c r="JFU21"/>
      <c r="JFV21"/>
      <c r="JFW21"/>
      <c r="JFX21"/>
      <c r="JFY21"/>
      <c r="JFZ21"/>
      <c r="JGA21"/>
      <c r="JGB21"/>
      <c r="JGC21"/>
      <c r="JGD21"/>
      <c r="JGE21"/>
      <c r="JGF21"/>
      <c r="JGG21"/>
      <c r="JGH21"/>
      <c r="JGI21"/>
      <c r="JGJ21"/>
      <c r="JGK21"/>
      <c r="JGL21"/>
      <c r="JGM21"/>
      <c r="JGN21"/>
      <c r="JGO21"/>
      <c r="JGP21"/>
      <c r="JGQ21"/>
      <c r="JGR21"/>
      <c r="JGS21"/>
      <c r="JGT21"/>
      <c r="JGU21"/>
      <c r="JGV21"/>
      <c r="JGW21"/>
      <c r="JGX21"/>
      <c r="JGY21"/>
      <c r="JGZ21"/>
      <c r="JHA21"/>
      <c r="JHB21"/>
      <c r="JHC21"/>
      <c r="JHD21"/>
      <c r="JHE21"/>
      <c r="JHF21"/>
      <c r="JHG21"/>
      <c r="JHH21"/>
      <c r="JHI21"/>
      <c r="JHJ21"/>
      <c r="JHK21"/>
      <c r="JHL21"/>
      <c r="JHM21"/>
      <c r="JHN21"/>
      <c r="JHO21"/>
      <c r="JHP21"/>
      <c r="JHQ21"/>
      <c r="JHR21"/>
      <c r="JHS21"/>
      <c r="JHT21"/>
      <c r="JHU21"/>
      <c r="JHV21"/>
      <c r="JHW21"/>
      <c r="JHX21"/>
      <c r="JHY21"/>
      <c r="JHZ21"/>
      <c r="JIA21"/>
      <c r="JIB21"/>
      <c r="JIC21"/>
      <c r="JID21"/>
      <c r="JIE21"/>
      <c r="JIF21"/>
      <c r="JIG21"/>
      <c r="JIH21"/>
      <c r="JII21"/>
      <c r="JIJ21"/>
      <c r="JIK21"/>
      <c r="JIL21"/>
      <c r="JIM21"/>
      <c r="JIN21"/>
      <c r="JIO21"/>
      <c r="JIP21"/>
      <c r="JIQ21"/>
      <c r="JIR21"/>
      <c r="JIS21"/>
      <c r="JIT21"/>
      <c r="JIU21"/>
      <c r="JIV21"/>
      <c r="JIW21"/>
      <c r="JIX21"/>
      <c r="JIY21"/>
      <c r="JIZ21"/>
      <c r="JJA21"/>
      <c r="JJB21"/>
      <c r="JJC21"/>
      <c r="JJD21"/>
      <c r="JJE21"/>
      <c r="JJF21"/>
      <c r="JJG21"/>
      <c r="JJH21"/>
      <c r="JJI21"/>
      <c r="JJJ21"/>
      <c r="JJK21"/>
      <c r="JJL21"/>
      <c r="JJM21"/>
      <c r="JJN21"/>
      <c r="JJO21"/>
      <c r="JJP21"/>
      <c r="JJQ21"/>
      <c r="JJR21"/>
      <c r="JJS21"/>
      <c r="JJT21"/>
      <c r="JJU21"/>
      <c r="JJV21"/>
      <c r="JJW21"/>
      <c r="JJX21"/>
      <c r="JJY21"/>
      <c r="JJZ21"/>
      <c r="JKA21"/>
      <c r="JKB21"/>
      <c r="JKC21"/>
      <c r="JKD21"/>
      <c r="JKE21"/>
      <c r="JKF21"/>
      <c r="JKG21"/>
      <c r="JKH21"/>
      <c r="JKI21"/>
      <c r="JKJ21"/>
      <c r="JKK21"/>
      <c r="JKL21"/>
      <c r="JKM21"/>
      <c r="JKN21"/>
      <c r="JKO21"/>
      <c r="JKP21"/>
      <c r="JKQ21"/>
      <c r="JKR21"/>
      <c r="JKS21"/>
      <c r="JKT21"/>
      <c r="JKU21"/>
      <c r="JKV21"/>
      <c r="JKW21"/>
      <c r="JKX21"/>
      <c r="JKY21"/>
      <c r="JKZ21"/>
      <c r="JLA21"/>
      <c r="JLB21"/>
      <c r="JLC21"/>
      <c r="JLD21"/>
      <c r="JLE21"/>
      <c r="JLF21"/>
      <c r="JLG21"/>
      <c r="JLH21"/>
      <c r="JLI21"/>
      <c r="JLJ21"/>
      <c r="JLK21"/>
      <c r="JLL21"/>
      <c r="JLM21"/>
      <c r="JLN21"/>
      <c r="JLO21"/>
      <c r="JLP21"/>
      <c r="JLQ21"/>
      <c r="JLR21"/>
      <c r="JLS21"/>
      <c r="JLT21"/>
      <c r="JLU21"/>
      <c r="JLV21"/>
      <c r="JLW21"/>
      <c r="JLX21"/>
      <c r="JLY21"/>
      <c r="JLZ21"/>
      <c r="JMA21"/>
      <c r="JMB21"/>
      <c r="JMC21"/>
      <c r="JMD21"/>
      <c r="JME21"/>
      <c r="JMF21"/>
      <c r="JMG21"/>
      <c r="JMH21"/>
      <c r="JMI21"/>
      <c r="JMJ21"/>
      <c r="JMK21"/>
      <c r="JML21"/>
      <c r="JMM21"/>
      <c r="JMN21"/>
      <c r="JMO21"/>
      <c r="JMP21"/>
      <c r="JMQ21"/>
      <c r="JMR21"/>
      <c r="JMS21"/>
      <c r="JMT21"/>
      <c r="JMU21"/>
      <c r="JMV21"/>
      <c r="JMW21"/>
      <c r="JMX21"/>
      <c r="JMY21"/>
      <c r="JMZ21"/>
      <c r="JNA21"/>
      <c r="JNB21"/>
      <c r="JNC21"/>
      <c r="JND21"/>
      <c r="JNE21"/>
      <c r="JNF21"/>
      <c r="JNG21"/>
      <c r="JNH21"/>
      <c r="JNI21"/>
      <c r="JNJ21"/>
      <c r="JNK21"/>
      <c r="JNL21"/>
      <c r="JNM21"/>
      <c r="JNN21"/>
      <c r="JNO21"/>
      <c r="JNP21"/>
      <c r="JNQ21"/>
      <c r="JNR21"/>
      <c r="JNS21"/>
      <c r="JNT21"/>
      <c r="JNU21"/>
      <c r="JNV21"/>
      <c r="JNW21"/>
      <c r="JNX21"/>
      <c r="JNY21"/>
      <c r="JNZ21"/>
      <c r="JOA21"/>
      <c r="JOB21"/>
      <c r="JOC21"/>
      <c r="JOD21"/>
      <c r="JOE21"/>
      <c r="JOF21"/>
      <c r="JOG21"/>
      <c r="JOH21"/>
      <c r="JOI21"/>
      <c r="JOJ21"/>
      <c r="JOK21"/>
      <c r="JOL21"/>
      <c r="JOM21"/>
      <c r="JON21"/>
      <c r="JOO21"/>
      <c r="JOP21"/>
      <c r="JOQ21"/>
      <c r="JOR21"/>
      <c r="JOS21"/>
      <c r="JOT21"/>
      <c r="JOU21"/>
      <c r="JOV21"/>
      <c r="JOW21"/>
      <c r="JOX21"/>
      <c r="JOY21"/>
      <c r="JOZ21"/>
      <c r="JPA21"/>
      <c r="JPB21"/>
      <c r="JPC21"/>
      <c r="JPD21"/>
      <c r="JPE21"/>
      <c r="JPF21"/>
      <c r="JPG21"/>
      <c r="JPH21"/>
      <c r="JPI21"/>
      <c r="JPJ21"/>
      <c r="JPK21"/>
      <c r="JPL21"/>
      <c r="JPM21"/>
      <c r="JPN21"/>
      <c r="JPO21"/>
      <c r="JPP21"/>
      <c r="JPQ21"/>
      <c r="JPR21"/>
      <c r="JPS21"/>
      <c r="JPT21"/>
      <c r="JPU21"/>
      <c r="JPV21"/>
      <c r="JPW21"/>
      <c r="JPX21"/>
      <c r="JPY21"/>
      <c r="JPZ21"/>
      <c r="JQA21"/>
      <c r="JQB21"/>
      <c r="JQC21"/>
      <c r="JQD21"/>
      <c r="JQE21"/>
      <c r="JQF21"/>
      <c r="JQG21"/>
      <c r="JQH21"/>
      <c r="JQI21"/>
      <c r="JQJ21"/>
      <c r="JQK21"/>
      <c r="JQL21"/>
      <c r="JQM21"/>
      <c r="JQN21"/>
      <c r="JQO21"/>
      <c r="JQP21"/>
      <c r="JQQ21"/>
      <c r="JQR21"/>
      <c r="JQS21"/>
      <c r="JQT21"/>
      <c r="JQU21"/>
      <c r="JQV21"/>
      <c r="JQW21"/>
      <c r="JQX21"/>
      <c r="JQY21"/>
      <c r="JQZ21"/>
      <c r="JRA21"/>
      <c r="JRB21"/>
      <c r="JRC21"/>
      <c r="JRD21"/>
      <c r="JRE21"/>
      <c r="JRF21"/>
      <c r="JRG21"/>
      <c r="JRH21"/>
      <c r="JRI21"/>
      <c r="JRJ21"/>
      <c r="JRK21"/>
      <c r="JRL21"/>
      <c r="JRM21"/>
      <c r="JRN21"/>
      <c r="JRO21"/>
      <c r="JRP21"/>
      <c r="JRQ21"/>
      <c r="JRR21"/>
      <c r="JRS21"/>
      <c r="JRT21"/>
      <c r="JRU21"/>
      <c r="JRV21"/>
      <c r="JRW21"/>
      <c r="JRX21"/>
      <c r="JRY21"/>
      <c r="JRZ21"/>
      <c r="JSA21"/>
      <c r="JSB21"/>
      <c r="JSC21"/>
      <c r="JSD21"/>
      <c r="JSE21"/>
      <c r="JSF21"/>
      <c r="JSG21"/>
      <c r="JSH21"/>
      <c r="JSI21"/>
      <c r="JSJ21"/>
      <c r="JSK21"/>
      <c r="JSL21"/>
      <c r="JSM21"/>
      <c r="JSN21"/>
      <c r="JSO21"/>
      <c r="JSP21"/>
      <c r="JSQ21"/>
      <c r="JSR21"/>
      <c r="JSS21"/>
      <c r="JST21"/>
      <c r="JSU21"/>
      <c r="JSV21"/>
      <c r="JSW21"/>
      <c r="JSX21"/>
      <c r="JSY21"/>
      <c r="JSZ21"/>
      <c r="JTA21"/>
      <c r="JTB21"/>
      <c r="JTC21"/>
      <c r="JTD21"/>
      <c r="JTE21"/>
      <c r="JTF21"/>
      <c r="JTG21"/>
      <c r="JTH21"/>
      <c r="JTI21"/>
      <c r="JTJ21"/>
      <c r="JTK21"/>
      <c r="JTL21"/>
      <c r="JTM21"/>
      <c r="JTN21"/>
      <c r="JTO21"/>
      <c r="JTP21"/>
      <c r="JTQ21"/>
      <c r="JTR21"/>
      <c r="JTS21"/>
      <c r="JTT21"/>
      <c r="JTU21"/>
      <c r="JTV21"/>
      <c r="JTW21"/>
      <c r="JTX21"/>
      <c r="JTY21"/>
      <c r="JTZ21"/>
      <c r="JUA21"/>
      <c r="JUB21"/>
      <c r="JUC21"/>
      <c r="JUD21"/>
      <c r="JUE21"/>
      <c r="JUF21"/>
      <c r="JUG21"/>
      <c r="JUH21"/>
      <c r="JUI21"/>
      <c r="JUJ21"/>
      <c r="JUK21"/>
      <c r="JUL21"/>
      <c r="JUM21"/>
      <c r="JUN21"/>
      <c r="JUO21"/>
      <c r="JUP21"/>
      <c r="JUQ21"/>
      <c r="JUR21"/>
      <c r="JUS21"/>
      <c r="JUT21"/>
      <c r="JUU21"/>
      <c r="JUV21"/>
      <c r="JUW21"/>
      <c r="JUX21"/>
      <c r="JUY21"/>
      <c r="JUZ21"/>
      <c r="JVA21"/>
      <c r="JVB21"/>
      <c r="JVC21"/>
      <c r="JVD21"/>
      <c r="JVE21"/>
      <c r="JVF21"/>
      <c r="JVG21"/>
      <c r="JVH21"/>
      <c r="JVI21"/>
      <c r="JVJ21"/>
      <c r="JVK21"/>
      <c r="JVL21"/>
      <c r="JVM21"/>
      <c r="JVN21"/>
      <c r="JVO21"/>
      <c r="JVP21"/>
      <c r="JVQ21"/>
      <c r="JVR21"/>
      <c r="JVS21"/>
      <c r="JVT21"/>
      <c r="JVU21"/>
      <c r="JVV21"/>
      <c r="JVW21"/>
      <c r="JVX21"/>
      <c r="JVY21"/>
      <c r="JVZ21"/>
      <c r="JWA21"/>
      <c r="JWB21"/>
      <c r="JWC21"/>
      <c r="JWD21"/>
      <c r="JWE21"/>
      <c r="JWF21"/>
      <c r="JWG21"/>
      <c r="JWH21"/>
      <c r="JWI21"/>
      <c r="JWJ21"/>
      <c r="JWK21"/>
      <c r="JWL21"/>
      <c r="JWM21"/>
      <c r="JWN21"/>
      <c r="JWO21"/>
      <c r="JWP21"/>
      <c r="JWQ21"/>
      <c r="JWR21"/>
      <c r="JWS21"/>
      <c r="JWT21"/>
      <c r="JWU21"/>
      <c r="JWV21"/>
      <c r="JWW21"/>
      <c r="JWX21"/>
      <c r="JWY21"/>
      <c r="JWZ21"/>
      <c r="JXA21"/>
      <c r="JXB21"/>
      <c r="JXC21"/>
      <c r="JXD21"/>
      <c r="JXE21"/>
      <c r="JXF21"/>
      <c r="JXG21"/>
      <c r="JXH21"/>
      <c r="JXI21"/>
      <c r="JXJ21"/>
      <c r="JXK21"/>
      <c r="JXL21"/>
      <c r="JXM21"/>
      <c r="JXN21"/>
      <c r="JXO21"/>
      <c r="JXP21"/>
      <c r="JXQ21"/>
      <c r="JXR21"/>
      <c r="JXS21"/>
      <c r="JXT21"/>
      <c r="JXU21"/>
      <c r="JXV21"/>
      <c r="JXW21"/>
      <c r="JXX21"/>
      <c r="JXY21"/>
      <c r="JXZ21"/>
      <c r="JYA21"/>
      <c r="JYB21"/>
      <c r="JYC21"/>
      <c r="JYD21"/>
      <c r="JYE21"/>
      <c r="JYF21"/>
      <c r="JYG21"/>
      <c r="JYH21"/>
      <c r="JYI21"/>
      <c r="JYJ21"/>
      <c r="JYK21"/>
      <c r="JYL21"/>
      <c r="JYM21"/>
      <c r="JYN21"/>
      <c r="JYO21"/>
      <c r="JYP21"/>
      <c r="JYQ21"/>
      <c r="JYR21"/>
      <c r="JYS21"/>
      <c r="JYT21"/>
      <c r="JYU21"/>
      <c r="JYV21"/>
      <c r="JYW21"/>
      <c r="JYX21"/>
      <c r="JYY21"/>
      <c r="JYZ21"/>
      <c r="JZA21"/>
      <c r="JZB21"/>
      <c r="JZC21"/>
      <c r="JZD21"/>
      <c r="JZE21"/>
      <c r="JZF21"/>
      <c r="JZG21"/>
      <c r="JZH21"/>
      <c r="JZI21"/>
      <c r="JZJ21"/>
      <c r="JZK21"/>
      <c r="JZL21"/>
      <c r="JZM21"/>
      <c r="JZN21"/>
      <c r="JZO21"/>
      <c r="JZP21"/>
      <c r="JZQ21"/>
      <c r="JZR21"/>
      <c r="JZS21"/>
      <c r="JZT21"/>
      <c r="JZU21"/>
      <c r="JZV21"/>
      <c r="JZW21"/>
      <c r="JZX21"/>
      <c r="JZY21"/>
      <c r="JZZ21"/>
      <c r="KAA21"/>
      <c r="KAB21"/>
      <c r="KAC21"/>
      <c r="KAD21"/>
      <c r="KAE21"/>
      <c r="KAF21"/>
      <c r="KAG21"/>
      <c r="KAH21"/>
      <c r="KAI21"/>
      <c r="KAJ21"/>
      <c r="KAK21"/>
      <c r="KAL21"/>
      <c r="KAM21"/>
      <c r="KAN21"/>
      <c r="KAO21"/>
      <c r="KAP21"/>
      <c r="KAQ21"/>
      <c r="KAR21"/>
      <c r="KAS21"/>
      <c r="KAT21"/>
      <c r="KAU21"/>
      <c r="KAV21"/>
      <c r="KAW21"/>
      <c r="KAX21"/>
      <c r="KAY21"/>
      <c r="KAZ21"/>
      <c r="KBA21"/>
      <c r="KBB21"/>
      <c r="KBC21"/>
      <c r="KBD21"/>
      <c r="KBE21"/>
      <c r="KBF21"/>
      <c r="KBG21"/>
      <c r="KBH21"/>
      <c r="KBI21"/>
      <c r="KBJ21"/>
      <c r="KBK21"/>
      <c r="KBL21"/>
      <c r="KBM21"/>
      <c r="KBN21"/>
      <c r="KBO21"/>
      <c r="KBP21"/>
      <c r="KBQ21"/>
      <c r="KBR21"/>
      <c r="KBS21"/>
      <c r="KBT21"/>
      <c r="KBU21"/>
      <c r="KBV21"/>
      <c r="KBW21"/>
      <c r="KBX21"/>
      <c r="KBY21"/>
      <c r="KBZ21"/>
      <c r="KCA21"/>
      <c r="KCB21"/>
      <c r="KCC21"/>
      <c r="KCD21"/>
      <c r="KCE21"/>
      <c r="KCF21"/>
      <c r="KCG21"/>
      <c r="KCH21"/>
      <c r="KCI21"/>
      <c r="KCJ21"/>
      <c r="KCK21"/>
      <c r="KCL21"/>
      <c r="KCM21"/>
      <c r="KCN21"/>
      <c r="KCO21"/>
      <c r="KCP21"/>
      <c r="KCQ21"/>
      <c r="KCR21"/>
      <c r="KCS21"/>
      <c r="KCT21"/>
      <c r="KCU21"/>
      <c r="KCV21"/>
      <c r="KCW21"/>
      <c r="KCX21"/>
      <c r="KCY21"/>
      <c r="KCZ21"/>
      <c r="KDA21"/>
      <c r="KDB21"/>
      <c r="KDC21"/>
      <c r="KDD21"/>
      <c r="KDE21"/>
      <c r="KDF21"/>
      <c r="KDG21"/>
      <c r="KDH21"/>
      <c r="KDI21"/>
      <c r="KDJ21"/>
      <c r="KDK21"/>
      <c r="KDL21"/>
      <c r="KDM21"/>
      <c r="KDN21"/>
      <c r="KDO21"/>
      <c r="KDP21"/>
      <c r="KDQ21"/>
      <c r="KDR21"/>
      <c r="KDS21"/>
      <c r="KDT21"/>
      <c r="KDU21"/>
      <c r="KDV21"/>
      <c r="KDW21"/>
      <c r="KDX21"/>
      <c r="KDY21"/>
      <c r="KDZ21"/>
      <c r="KEA21"/>
      <c r="KEB21"/>
      <c r="KEC21"/>
      <c r="KED21"/>
      <c r="KEE21"/>
      <c r="KEF21"/>
      <c r="KEG21"/>
      <c r="KEH21"/>
      <c r="KEI21"/>
      <c r="KEJ21"/>
      <c r="KEK21"/>
      <c r="KEL21"/>
      <c r="KEM21"/>
      <c r="KEN21"/>
      <c r="KEO21"/>
      <c r="KEP21"/>
      <c r="KEQ21"/>
      <c r="KER21"/>
      <c r="KES21"/>
      <c r="KET21"/>
      <c r="KEU21"/>
      <c r="KEV21"/>
      <c r="KEW21"/>
      <c r="KEX21"/>
      <c r="KEY21"/>
      <c r="KEZ21"/>
      <c r="KFA21"/>
      <c r="KFB21"/>
      <c r="KFC21"/>
      <c r="KFD21"/>
      <c r="KFE21"/>
      <c r="KFF21"/>
      <c r="KFG21"/>
      <c r="KFH21"/>
      <c r="KFI21"/>
      <c r="KFJ21"/>
      <c r="KFK21"/>
      <c r="KFL21"/>
      <c r="KFM21"/>
      <c r="KFN21"/>
      <c r="KFO21"/>
      <c r="KFP21"/>
      <c r="KFQ21"/>
      <c r="KFR21"/>
      <c r="KFS21"/>
      <c r="KFT21"/>
      <c r="KFU21"/>
      <c r="KFV21"/>
      <c r="KFW21"/>
      <c r="KFX21"/>
      <c r="KFY21"/>
      <c r="KFZ21"/>
      <c r="KGA21"/>
      <c r="KGB21"/>
      <c r="KGC21"/>
      <c r="KGD21"/>
      <c r="KGE21"/>
      <c r="KGF21"/>
      <c r="KGG21"/>
      <c r="KGH21"/>
      <c r="KGI21"/>
      <c r="KGJ21"/>
      <c r="KGK21"/>
      <c r="KGL21"/>
      <c r="KGM21"/>
      <c r="KGN21"/>
      <c r="KGO21"/>
      <c r="KGP21"/>
      <c r="KGQ21"/>
      <c r="KGR21"/>
      <c r="KGS21"/>
      <c r="KGT21"/>
      <c r="KGU21"/>
      <c r="KGV21"/>
      <c r="KGW21"/>
      <c r="KGX21"/>
      <c r="KGY21"/>
      <c r="KGZ21"/>
      <c r="KHA21"/>
      <c r="KHB21"/>
      <c r="KHC21"/>
      <c r="KHD21"/>
      <c r="KHE21"/>
      <c r="KHF21"/>
      <c r="KHG21"/>
      <c r="KHH21"/>
      <c r="KHI21"/>
      <c r="KHJ21"/>
      <c r="KHK21"/>
      <c r="KHL21"/>
      <c r="KHM21"/>
      <c r="KHN21"/>
      <c r="KHO21"/>
      <c r="KHP21"/>
      <c r="KHQ21"/>
      <c r="KHR21"/>
      <c r="KHS21"/>
      <c r="KHT21"/>
      <c r="KHU21"/>
      <c r="KHV21"/>
      <c r="KHW21"/>
      <c r="KHX21"/>
      <c r="KHY21"/>
      <c r="KHZ21"/>
      <c r="KIA21"/>
      <c r="KIB21"/>
      <c r="KIC21"/>
      <c r="KID21"/>
      <c r="KIE21"/>
      <c r="KIF21"/>
      <c r="KIG21"/>
      <c r="KIH21"/>
      <c r="KII21"/>
      <c r="KIJ21"/>
      <c r="KIK21"/>
      <c r="KIL21"/>
      <c r="KIM21"/>
      <c r="KIN21"/>
      <c r="KIO21"/>
      <c r="KIP21"/>
      <c r="KIQ21"/>
      <c r="KIR21"/>
      <c r="KIS21"/>
      <c r="KIT21"/>
      <c r="KIU21"/>
      <c r="KIV21"/>
      <c r="KIW21"/>
      <c r="KIX21"/>
      <c r="KIY21"/>
      <c r="KIZ21"/>
      <c r="KJA21"/>
      <c r="KJB21"/>
      <c r="KJC21"/>
      <c r="KJD21"/>
      <c r="KJE21"/>
      <c r="KJF21"/>
      <c r="KJG21"/>
      <c r="KJH21"/>
      <c r="KJI21"/>
      <c r="KJJ21"/>
      <c r="KJK21"/>
      <c r="KJL21"/>
      <c r="KJM21"/>
      <c r="KJN21"/>
      <c r="KJO21"/>
      <c r="KJP21"/>
      <c r="KJQ21"/>
      <c r="KJR21"/>
      <c r="KJS21"/>
      <c r="KJT21"/>
      <c r="KJU21"/>
      <c r="KJV21"/>
      <c r="KJW21"/>
      <c r="KJX21"/>
      <c r="KJY21"/>
      <c r="KJZ21"/>
      <c r="KKA21"/>
      <c r="KKB21"/>
      <c r="KKC21"/>
      <c r="KKD21"/>
      <c r="KKE21"/>
      <c r="KKF21"/>
      <c r="KKG21"/>
      <c r="KKH21"/>
      <c r="KKI21"/>
      <c r="KKJ21"/>
      <c r="KKK21"/>
      <c r="KKL21"/>
      <c r="KKM21"/>
      <c r="KKN21"/>
      <c r="KKO21"/>
      <c r="KKP21"/>
      <c r="KKQ21"/>
      <c r="KKR21"/>
      <c r="KKS21"/>
      <c r="KKT21"/>
      <c r="KKU21"/>
      <c r="KKV21"/>
      <c r="KKW21"/>
      <c r="KKX21"/>
      <c r="KKY21"/>
      <c r="KKZ21"/>
      <c r="KLA21"/>
      <c r="KLB21"/>
      <c r="KLC21"/>
      <c r="KLD21"/>
      <c r="KLE21"/>
      <c r="KLF21"/>
      <c r="KLG21"/>
      <c r="KLH21"/>
      <c r="KLI21"/>
      <c r="KLJ21"/>
      <c r="KLK21"/>
      <c r="KLL21"/>
      <c r="KLM21"/>
      <c r="KLN21"/>
      <c r="KLO21"/>
      <c r="KLP21"/>
      <c r="KLQ21"/>
      <c r="KLR21"/>
      <c r="KLS21"/>
      <c r="KLT21"/>
      <c r="KLU21"/>
      <c r="KLV21"/>
      <c r="KLW21"/>
      <c r="KLX21"/>
      <c r="KLY21"/>
      <c r="KLZ21"/>
      <c r="KMA21"/>
      <c r="KMB21"/>
      <c r="KMC21"/>
      <c r="KMD21"/>
      <c r="KME21"/>
      <c r="KMF21"/>
      <c r="KMG21"/>
      <c r="KMH21"/>
      <c r="KMI21"/>
      <c r="KMJ21"/>
      <c r="KMK21"/>
      <c r="KML21"/>
      <c r="KMM21"/>
      <c r="KMN21"/>
      <c r="KMO21"/>
      <c r="KMP21"/>
      <c r="KMQ21"/>
      <c r="KMR21"/>
      <c r="KMS21"/>
      <c r="KMT21"/>
      <c r="KMU21"/>
      <c r="KMV21"/>
      <c r="KMW21"/>
      <c r="KMX21"/>
      <c r="KMY21"/>
      <c r="KMZ21"/>
      <c r="KNA21"/>
      <c r="KNB21"/>
      <c r="KNC21"/>
      <c r="KND21"/>
      <c r="KNE21"/>
      <c r="KNF21"/>
      <c r="KNG21"/>
      <c r="KNH21"/>
      <c r="KNI21"/>
      <c r="KNJ21"/>
      <c r="KNK21"/>
      <c r="KNL21"/>
      <c r="KNM21"/>
      <c r="KNN21"/>
      <c r="KNO21"/>
      <c r="KNP21"/>
      <c r="KNQ21"/>
      <c r="KNR21"/>
      <c r="KNS21"/>
      <c r="KNT21"/>
      <c r="KNU21"/>
      <c r="KNV21"/>
      <c r="KNW21"/>
      <c r="KNX21"/>
      <c r="KNY21"/>
      <c r="KNZ21"/>
      <c r="KOA21"/>
      <c r="KOB21"/>
      <c r="KOC21"/>
      <c r="KOD21"/>
      <c r="KOE21"/>
      <c r="KOF21"/>
      <c r="KOG21"/>
      <c r="KOH21"/>
      <c r="KOI21"/>
      <c r="KOJ21"/>
      <c r="KOK21"/>
      <c r="KOL21"/>
      <c r="KOM21"/>
      <c r="KON21"/>
      <c r="KOO21"/>
      <c r="KOP21"/>
      <c r="KOQ21"/>
      <c r="KOR21"/>
      <c r="KOS21"/>
      <c r="KOT21"/>
      <c r="KOU21"/>
      <c r="KOV21"/>
      <c r="KOW21"/>
      <c r="KOX21"/>
      <c r="KOY21"/>
      <c r="KOZ21"/>
      <c r="KPA21"/>
      <c r="KPB21"/>
      <c r="KPC21"/>
      <c r="KPD21"/>
      <c r="KPE21"/>
      <c r="KPF21"/>
      <c r="KPG21"/>
      <c r="KPH21"/>
      <c r="KPI21"/>
      <c r="KPJ21"/>
      <c r="KPK21"/>
      <c r="KPL21"/>
      <c r="KPM21"/>
      <c r="KPN21"/>
      <c r="KPO21"/>
      <c r="KPP21"/>
      <c r="KPQ21"/>
      <c r="KPR21"/>
      <c r="KPS21"/>
      <c r="KPT21"/>
      <c r="KPU21"/>
      <c r="KPV21"/>
      <c r="KPW21"/>
      <c r="KPX21"/>
      <c r="KPY21"/>
      <c r="KPZ21"/>
      <c r="KQA21"/>
      <c r="KQB21"/>
      <c r="KQC21"/>
      <c r="KQD21"/>
      <c r="KQE21"/>
      <c r="KQF21"/>
      <c r="KQG21"/>
      <c r="KQH21"/>
      <c r="KQI21"/>
      <c r="KQJ21"/>
      <c r="KQK21"/>
      <c r="KQL21"/>
      <c r="KQM21"/>
      <c r="KQN21"/>
      <c r="KQO21"/>
      <c r="KQP21"/>
      <c r="KQQ21"/>
      <c r="KQR21"/>
      <c r="KQS21"/>
      <c r="KQT21"/>
      <c r="KQU21"/>
      <c r="KQV21"/>
      <c r="KQW21"/>
      <c r="KQX21"/>
      <c r="KQY21"/>
      <c r="KQZ21"/>
      <c r="KRA21"/>
      <c r="KRB21"/>
      <c r="KRC21"/>
      <c r="KRD21"/>
      <c r="KRE21"/>
      <c r="KRF21"/>
      <c r="KRG21"/>
      <c r="KRH21"/>
      <c r="KRI21"/>
      <c r="KRJ21"/>
      <c r="KRK21"/>
      <c r="KRL21"/>
      <c r="KRM21"/>
      <c r="KRN21"/>
      <c r="KRO21"/>
      <c r="KRP21"/>
      <c r="KRQ21"/>
      <c r="KRR21"/>
      <c r="KRS21"/>
      <c r="KRT21"/>
      <c r="KRU21"/>
      <c r="KRV21"/>
      <c r="KRW21"/>
      <c r="KRX21"/>
      <c r="KRY21"/>
      <c r="KRZ21"/>
      <c r="KSA21"/>
      <c r="KSB21"/>
      <c r="KSC21"/>
      <c r="KSD21"/>
      <c r="KSE21"/>
      <c r="KSF21"/>
      <c r="KSG21"/>
      <c r="KSH21"/>
      <c r="KSI21"/>
      <c r="KSJ21"/>
      <c r="KSK21"/>
      <c r="KSL21"/>
      <c r="KSM21"/>
      <c r="KSN21"/>
      <c r="KSO21"/>
      <c r="KSP21"/>
      <c r="KSQ21"/>
      <c r="KSR21"/>
      <c r="KSS21"/>
      <c r="KST21"/>
      <c r="KSU21"/>
      <c r="KSV21"/>
      <c r="KSW21"/>
      <c r="KSX21"/>
      <c r="KSY21"/>
      <c r="KSZ21"/>
      <c r="KTA21"/>
      <c r="KTB21"/>
      <c r="KTC21"/>
      <c r="KTD21"/>
      <c r="KTE21"/>
      <c r="KTF21"/>
      <c r="KTG21"/>
      <c r="KTH21"/>
      <c r="KTI21"/>
      <c r="KTJ21"/>
      <c r="KTK21"/>
      <c r="KTL21"/>
      <c r="KTM21"/>
      <c r="KTN21"/>
      <c r="KTO21"/>
      <c r="KTP21"/>
      <c r="KTQ21"/>
      <c r="KTR21"/>
      <c r="KTS21"/>
      <c r="KTT21"/>
      <c r="KTU21"/>
      <c r="KTV21"/>
      <c r="KTW21"/>
      <c r="KTX21"/>
      <c r="KTY21"/>
      <c r="KTZ21"/>
      <c r="KUA21"/>
      <c r="KUB21"/>
      <c r="KUC21"/>
      <c r="KUD21"/>
      <c r="KUE21"/>
      <c r="KUF21"/>
      <c r="KUG21"/>
      <c r="KUH21"/>
      <c r="KUI21"/>
      <c r="KUJ21"/>
      <c r="KUK21"/>
      <c r="KUL21"/>
      <c r="KUM21"/>
      <c r="KUN21"/>
      <c r="KUO21"/>
      <c r="KUP21"/>
      <c r="KUQ21"/>
      <c r="KUR21"/>
      <c r="KUS21"/>
      <c r="KUT21"/>
      <c r="KUU21"/>
      <c r="KUV21"/>
      <c r="KUW21"/>
      <c r="KUX21"/>
      <c r="KUY21"/>
      <c r="KUZ21"/>
      <c r="KVA21"/>
      <c r="KVB21"/>
      <c r="KVC21"/>
      <c r="KVD21"/>
      <c r="KVE21"/>
      <c r="KVF21"/>
      <c r="KVG21"/>
      <c r="KVH21"/>
      <c r="KVI21"/>
      <c r="KVJ21"/>
      <c r="KVK21"/>
      <c r="KVL21"/>
      <c r="KVM21"/>
      <c r="KVN21"/>
      <c r="KVO21"/>
      <c r="KVP21"/>
      <c r="KVQ21"/>
      <c r="KVR21"/>
      <c r="KVS21"/>
      <c r="KVT21"/>
      <c r="KVU21"/>
      <c r="KVV21"/>
      <c r="KVW21"/>
      <c r="KVX21"/>
      <c r="KVY21"/>
      <c r="KVZ21"/>
      <c r="KWA21"/>
      <c r="KWB21"/>
      <c r="KWC21"/>
      <c r="KWD21"/>
      <c r="KWE21"/>
      <c r="KWF21"/>
      <c r="KWG21"/>
      <c r="KWH21"/>
      <c r="KWI21"/>
      <c r="KWJ21"/>
      <c r="KWK21"/>
      <c r="KWL21"/>
      <c r="KWM21"/>
      <c r="KWN21"/>
      <c r="KWO21"/>
      <c r="KWP21"/>
      <c r="KWQ21"/>
      <c r="KWR21"/>
      <c r="KWS21"/>
      <c r="KWT21"/>
      <c r="KWU21"/>
      <c r="KWV21"/>
      <c r="KWW21"/>
      <c r="KWX21"/>
      <c r="KWY21"/>
      <c r="KWZ21"/>
      <c r="KXA21"/>
      <c r="KXB21"/>
      <c r="KXC21"/>
      <c r="KXD21"/>
      <c r="KXE21"/>
      <c r="KXF21"/>
      <c r="KXG21"/>
      <c r="KXH21"/>
      <c r="KXI21"/>
      <c r="KXJ21"/>
      <c r="KXK21"/>
      <c r="KXL21"/>
      <c r="KXM21"/>
      <c r="KXN21"/>
      <c r="KXO21"/>
      <c r="KXP21"/>
      <c r="KXQ21"/>
      <c r="KXR21"/>
      <c r="KXS21"/>
      <c r="KXT21"/>
      <c r="KXU21"/>
      <c r="KXV21"/>
      <c r="KXW21"/>
      <c r="KXX21"/>
      <c r="KXY21"/>
      <c r="KXZ21"/>
      <c r="KYA21"/>
      <c r="KYB21"/>
      <c r="KYC21"/>
      <c r="KYD21"/>
      <c r="KYE21"/>
      <c r="KYF21"/>
      <c r="KYG21"/>
      <c r="KYH21"/>
      <c r="KYI21"/>
      <c r="KYJ21"/>
      <c r="KYK21"/>
      <c r="KYL21"/>
      <c r="KYM21"/>
      <c r="KYN21"/>
      <c r="KYO21"/>
      <c r="KYP21"/>
      <c r="KYQ21"/>
      <c r="KYR21"/>
      <c r="KYS21"/>
      <c r="KYT21"/>
      <c r="KYU21"/>
      <c r="KYV21"/>
      <c r="KYW21"/>
      <c r="KYX21"/>
      <c r="KYY21"/>
      <c r="KYZ21"/>
      <c r="KZA21"/>
      <c r="KZB21"/>
      <c r="KZC21"/>
      <c r="KZD21"/>
      <c r="KZE21"/>
      <c r="KZF21"/>
      <c r="KZG21"/>
      <c r="KZH21"/>
      <c r="KZI21"/>
      <c r="KZJ21"/>
      <c r="KZK21"/>
      <c r="KZL21"/>
      <c r="KZM21"/>
      <c r="KZN21"/>
      <c r="KZO21"/>
      <c r="KZP21"/>
      <c r="KZQ21"/>
      <c r="KZR21"/>
      <c r="KZS21"/>
      <c r="KZT21"/>
      <c r="KZU21"/>
      <c r="KZV21"/>
      <c r="KZW21"/>
      <c r="KZX21"/>
      <c r="KZY21"/>
      <c r="KZZ21"/>
      <c r="LAA21"/>
      <c r="LAB21"/>
      <c r="LAC21"/>
      <c r="LAD21"/>
      <c r="LAE21"/>
      <c r="LAF21"/>
      <c r="LAG21"/>
      <c r="LAH21"/>
      <c r="LAI21"/>
      <c r="LAJ21"/>
      <c r="LAK21"/>
      <c r="LAL21"/>
      <c r="LAM21"/>
      <c r="LAN21"/>
      <c r="LAO21"/>
      <c r="LAP21"/>
      <c r="LAQ21"/>
      <c r="LAR21"/>
      <c r="LAS21"/>
      <c r="LAT21"/>
      <c r="LAU21"/>
      <c r="LAV21"/>
      <c r="LAW21"/>
      <c r="LAX21"/>
      <c r="LAY21"/>
      <c r="LAZ21"/>
      <c r="LBA21"/>
      <c r="LBB21"/>
      <c r="LBC21"/>
      <c r="LBD21"/>
      <c r="LBE21"/>
      <c r="LBF21"/>
      <c r="LBG21"/>
      <c r="LBH21"/>
      <c r="LBI21"/>
      <c r="LBJ21"/>
      <c r="LBK21"/>
      <c r="LBL21"/>
      <c r="LBM21"/>
      <c r="LBN21"/>
      <c r="LBO21"/>
      <c r="LBP21"/>
      <c r="LBQ21"/>
      <c r="LBR21"/>
      <c r="LBS21"/>
      <c r="LBT21"/>
      <c r="LBU21"/>
      <c r="LBV21"/>
      <c r="LBW21"/>
      <c r="LBX21"/>
      <c r="LBY21"/>
      <c r="LBZ21"/>
      <c r="LCA21"/>
      <c r="LCB21"/>
      <c r="LCC21"/>
      <c r="LCD21"/>
      <c r="LCE21"/>
      <c r="LCF21"/>
      <c r="LCG21"/>
      <c r="LCH21"/>
      <c r="LCI21"/>
      <c r="LCJ21"/>
      <c r="LCK21"/>
      <c r="LCL21"/>
      <c r="LCM21"/>
      <c r="LCN21"/>
      <c r="LCO21"/>
      <c r="LCP21"/>
      <c r="LCQ21"/>
      <c r="LCR21"/>
      <c r="LCS21"/>
      <c r="LCT21"/>
      <c r="LCU21"/>
      <c r="LCV21"/>
      <c r="LCW21"/>
      <c r="LCX21"/>
      <c r="LCY21"/>
      <c r="LCZ21"/>
      <c r="LDA21"/>
      <c r="LDB21"/>
      <c r="LDC21"/>
      <c r="LDD21"/>
      <c r="LDE21"/>
      <c r="LDF21"/>
      <c r="LDG21"/>
      <c r="LDH21"/>
      <c r="LDI21"/>
      <c r="LDJ21"/>
      <c r="LDK21"/>
      <c r="LDL21"/>
      <c r="LDM21"/>
      <c r="LDN21"/>
      <c r="LDO21"/>
      <c r="LDP21"/>
      <c r="LDQ21"/>
      <c r="LDR21"/>
      <c r="LDS21"/>
      <c r="LDT21"/>
      <c r="LDU21"/>
      <c r="LDV21"/>
      <c r="LDW21"/>
      <c r="LDX21"/>
      <c r="LDY21"/>
      <c r="LDZ21"/>
      <c r="LEA21"/>
      <c r="LEB21"/>
      <c r="LEC21"/>
      <c r="LED21"/>
      <c r="LEE21"/>
      <c r="LEF21"/>
      <c r="LEG21"/>
      <c r="LEH21"/>
      <c r="LEI21"/>
      <c r="LEJ21"/>
      <c r="LEK21"/>
      <c r="LEL21"/>
      <c r="LEM21"/>
      <c r="LEN21"/>
      <c r="LEO21"/>
      <c r="LEP21"/>
      <c r="LEQ21"/>
      <c r="LER21"/>
      <c r="LES21"/>
      <c r="LET21"/>
      <c r="LEU21"/>
      <c r="LEV21"/>
      <c r="LEW21"/>
      <c r="LEX21"/>
      <c r="LEY21"/>
      <c r="LEZ21"/>
      <c r="LFA21"/>
      <c r="LFB21"/>
      <c r="LFC21"/>
      <c r="LFD21"/>
      <c r="LFE21"/>
      <c r="LFF21"/>
      <c r="LFG21"/>
      <c r="LFH21"/>
      <c r="LFI21"/>
      <c r="LFJ21"/>
      <c r="LFK21"/>
      <c r="LFL21"/>
      <c r="LFM21"/>
      <c r="LFN21"/>
      <c r="LFO21"/>
      <c r="LFP21"/>
      <c r="LFQ21"/>
      <c r="LFR21"/>
      <c r="LFS21"/>
      <c r="LFT21"/>
      <c r="LFU21"/>
      <c r="LFV21"/>
      <c r="LFW21"/>
      <c r="LFX21"/>
      <c r="LFY21"/>
      <c r="LFZ21"/>
      <c r="LGA21"/>
      <c r="LGB21"/>
      <c r="LGC21"/>
      <c r="LGD21"/>
      <c r="LGE21"/>
      <c r="LGF21"/>
      <c r="LGG21"/>
      <c r="LGH21"/>
      <c r="LGI21"/>
      <c r="LGJ21"/>
      <c r="LGK21"/>
      <c r="LGL21"/>
      <c r="LGM21"/>
      <c r="LGN21"/>
      <c r="LGO21"/>
      <c r="LGP21"/>
      <c r="LGQ21"/>
      <c r="LGR21"/>
      <c r="LGS21"/>
      <c r="LGT21"/>
      <c r="LGU21"/>
      <c r="LGV21"/>
      <c r="LGW21"/>
      <c r="LGX21"/>
      <c r="LGY21"/>
      <c r="LGZ21"/>
      <c r="LHA21"/>
      <c r="LHB21"/>
      <c r="LHC21"/>
      <c r="LHD21"/>
      <c r="LHE21"/>
      <c r="LHF21"/>
      <c r="LHG21"/>
      <c r="LHH21"/>
      <c r="LHI21"/>
      <c r="LHJ21"/>
      <c r="LHK21"/>
      <c r="LHL21"/>
      <c r="LHM21"/>
      <c r="LHN21"/>
      <c r="LHO21"/>
      <c r="LHP21"/>
      <c r="LHQ21"/>
      <c r="LHR21"/>
      <c r="LHS21"/>
      <c r="LHT21"/>
      <c r="LHU21"/>
      <c r="LHV21"/>
      <c r="LHW21"/>
      <c r="LHX21"/>
      <c r="LHY21"/>
      <c r="LHZ21"/>
      <c r="LIA21"/>
      <c r="LIB21"/>
      <c r="LIC21"/>
      <c r="LID21"/>
      <c r="LIE21"/>
      <c r="LIF21"/>
      <c r="LIG21"/>
      <c r="LIH21"/>
      <c r="LII21"/>
      <c r="LIJ21"/>
      <c r="LIK21"/>
      <c r="LIL21"/>
      <c r="LIM21"/>
      <c r="LIN21"/>
      <c r="LIO21"/>
      <c r="LIP21"/>
      <c r="LIQ21"/>
      <c r="LIR21"/>
      <c r="LIS21"/>
      <c r="LIT21"/>
      <c r="LIU21"/>
      <c r="LIV21"/>
      <c r="LIW21"/>
      <c r="LIX21"/>
      <c r="LIY21"/>
      <c r="LIZ21"/>
      <c r="LJA21"/>
      <c r="LJB21"/>
      <c r="LJC21"/>
      <c r="LJD21"/>
      <c r="LJE21"/>
      <c r="LJF21"/>
      <c r="LJG21"/>
      <c r="LJH21"/>
      <c r="LJI21"/>
      <c r="LJJ21"/>
      <c r="LJK21"/>
      <c r="LJL21"/>
      <c r="LJM21"/>
      <c r="LJN21"/>
      <c r="LJO21"/>
      <c r="LJP21"/>
      <c r="LJQ21"/>
      <c r="LJR21"/>
      <c r="LJS21"/>
      <c r="LJT21"/>
      <c r="LJU21"/>
      <c r="LJV21"/>
      <c r="LJW21"/>
      <c r="LJX21"/>
      <c r="LJY21"/>
      <c r="LJZ21"/>
      <c r="LKA21"/>
      <c r="LKB21"/>
      <c r="LKC21"/>
      <c r="LKD21"/>
      <c r="LKE21"/>
      <c r="LKF21"/>
      <c r="LKG21"/>
      <c r="LKH21"/>
      <c r="LKI21"/>
      <c r="LKJ21"/>
      <c r="LKK21"/>
      <c r="LKL21"/>
      <c r="LKM21"/>
      <c r="LKN21"/>
      <c r="LKO21"/>
      <c r="LKP21"/>
      <c r="LKQ21"/>
      <c r="LKR21"/>
      <c r="LKS21"/>
      <c r="LKT21"/>
      <c r="LKU21"/>
      <c r="LKV21"/>
      <c r="LKW21"/>
      <c r="LKX21"/>
      <c r="LKY21"/>
      <c r="LKZ21"/>
      <c r="LLA21"/>
      <c r="LLB21"/>
      <c r="LLC21"/>
      <c r="LLD21"/>
      <c r="LLE21"/>
      <c r="LLF21"/>
      <c r="LLG21"/>
      <c r="LLH21"/>
      <c r="LLI21"/>
      <c r="LLJ21"/>
      <c r="LLK21"/>
      <c r="LLL21"/>
      <c r="LLM21"/>
      <c r="LLN21"/>
      <c r="LLO21"/>
      <c r="LLP21"/>
      <c r="LLQ21"/>
      <c r="LLR21"/>
      <c r="LLS21"/>
      <c r="LLT21"/>
      <c r="LLU21"/>
      <c r="LLV21"/>
      <c r="LLW21"/>
      <c r="LLX21"/>
      <c r="LLY21"/>
      <c r="LLZ21"/>
      <c r="LMA21"/>
      <c r="LMB21"/>
      <c r="LMC21"/>
      <c r="LMD21"/>
      <c r="LME21"/>
      <c r="LMF21"/>
      <c r="LMG21"/>
      <c r="LMH21"/>
      <c r="LMI21"/>
      <c r="LMJ21"/>
      <c r="LMK21"/>
      <c r="LML21"/>
      <c r="LMM21"/>
      <c r="LMN21"/>
      <c r="LMO21"/>
      <c r="LMP21"/>
      <c r="LMQ21"/>
      <c r="LMR21"/>
      <c r="LMS21"/>
      <c r="LMT21"/>
      <c r="LMU21"/>
      <c r="LMV21"/>
      <c r="LMW21"/>
      <c r="LMX21"/>
      <c r="LMY21"/>
      <c r="LMZ21"/>
      <c r="LNA21"/>
      <c r="LNB21"/>
      <c r="LNC21"/>
      <c r="LND21"/>
      <c r="LNE21"/>
      <c r="LNF21"/>
      <c r="LNG21"/>
      <c r="LNH21"/>
      <c r="LNI21"/>
      <c r="LNJ21"/>
      <c r="LNK21"/>
      <c r="LNL21"/>
      <c r="LNM21"/>
      <c r="LNN21"/>
      <c r="LNO21"/>
      <c r="LNP21"/>
      <c r="LNQ21"/>
      <c r="LNR21"/>
      <c r="LNS21"/>
      <c r="LNT21"/>
      <c r="LNU21"/>
      <c r="LNV21"/>
      <c r="LNW21"/>
      <c r="LNX21"/>
      <c r="LNY21"/>
      <c r="LNZ21"/>
      <c r="LOA21"/>
      <c r="LOB21"/>
      <c r="LOC21"/>
      <c r="LOD21"/>
      <c r="LOE21"/>
      <c r="LOF21"/>
      <c r="LOG21"/>
      <c r="LOH21"/>
      <c r="LOI21"/>
      <c r="LOJ21"/>
      <c r="LOK21"/>
      <c r="LOL21"/>
      <c r="LOM21"/>
      <c r="LON21"/>
      <c r="LOO21"/>
      <c r="LOP21"/>
      <c r="LOQ21"/>
      <c r="LOR21"/>
      <c r="LOS21"/>
      <c r="LOT21"/>
      <c r="LOU21"/>
      <c r="LOV21"/>
      <c r="LOW21"/>
      <c r="LOX21"/>
      <c r="LOY21"/>
      <c r="LOZ21"/>
      <c r="LPA21"/>
      <c r="LPB21"/>
      <c r="LPC21"/>
      <c r="LPD21"/>
      <c r="LPE21"/>
      <c r="LPF21"/>
      <c r="LPG21"/>
      <c r="LPH21"/>
      <c r="LPI21"/>
      <c r="LPJ21"/>
      <c r="LPK21"/>
      <c r="LPL21"/>
      <c r="LPM21"/>
      <c r="LPN21"/>
      <c r="LPO21"/>
      <c r="LPP21"/>
      <c r="LPQ21"/>
      <c r="LPR21"/>
      <c r="LPS21"/>
      <c r="LPT21"/>
      <c r="LPU21"/>
      <c r="LPV21"/>
      <c r="LPW21"/>
      <c r="LPX21"/>
      <c r="LPY21"/>
      <c r="LPZ21"/>
      <c r="LQA21"/>
      <c r="LQB21"/>
      <c r="LQC21"/>
      <c r="LQD21"/>
      <c r="LQE21"/>
      <c r="LQF21"/>
      <c r="LQG21"/>
      <c r="LQH21"/>
      <c r="LQI21"/>
      <c r="LQJ21"/>
      <c r="LQK21"/>
      <c r="LQL21"/>
      <c r="LQM21"/>
      <c r="LQN21"/>
      <c r="LQO21"/>
      <c r="LQP21"/>
      <c r="LQQ21"/>
      <c r="LQR21"/>
      <c r="LQS21"/>
      <c r="LQT21"/>
      <c r="LQU21"/>
      <c r="LQV21"/>
      <c r="LQW21"/>
      <c r="LQX21"/>
      <c r="LQY21"/>
      <c r="LQZ21"/>
      <c r="LRA21"/>
      <c r="LRB21"/>
      <c r="LRC21"/>
      <c r="LRD21"/>
      <c r="LRE21"/>
      <c r="LRF21"/>
      <c r="LRG21"/>
      <c r="LRH21"/>
      <c r="LRI21"/>
      <c r="LRJ21"/>
      <c r="LRK21"/>
      <c r="LRL21"/>
      <c r="LRM21"/>
      <c r="LRN21"/>
      <c r="LRO21"/>
      <c r="LRP21"/>
      <c r="LRQ21"/>
      <c r="LRR21"/>
      <c r="LRS21"/>
      <c r="LRT21"/>
      <c r="LRU21"/>
      <c r="LRV21"/>
      <c r="LRW21"/>
      <c r="LRX21"/>
      <c r="LRY21"/>
      <c r="LRZ21"/>
      <c r="LSA21"/>
      <c r="LSB21"/>
      <c r="LSC21"/>
      <c r="LSD21"/>
      <c r="LSE21"/>
      <c r="LSF21"/>
      <c r="LSG21"/>
      <c r="LSH21"/>
      <c r="LSI21"/>
      <c r="LSJ21"/>
      <c r="LSK21"/>
      <c r="LSL21"/>
      <c r="LSM21"/>
      <c r="LSN21"/>
      <c r="LSO21"/>
      <c r="LSP21"/>
      <c r="LSQ21"/>
      <c r="LSR21"/>
      <c r="LSS21"/>
      <c r="LST21"/>
      <c r="LSU21"/>
      <c r="LSV21"/>
      <c r="LSW21"/>
      <c r="LSX21"/>
      <c r="LSY21"/>
      <c r="LSZ21"/>
      <c r="LTA21"/>
      <c r="LTB21"/>
      <c r="LTC21"/>
      <c r="LTD21"/>
      <c r="LTE21"/>
      <c r="LTF21"/>
      <c r="LTG21"/>
      <c r="LTH21"/>
      <c r="LTI21"/>
      <c r="LTJ21"/>
      <c r="LTK21"/>
      <c r="LTL21"/>
      <c r="LTM21"/>
      <c r="LTN21"/>
      <c r="LTO21"/>
      <c r="LTP21"/>
      <c r="LTQ21"/>
      <c r="LTR21"/>
      <c r="LTS21"/>
      <c r="LTT21"/>
      <c r="LTU21"/>
      <c r="LTV21"/>
      <c r="LTW21"/>
      <c r="LTX21"/>
      <c r="LTY21"/>
      <c r="LTZ21"/>
      <c r="LUA21"/>
      <c r="LUB21"/>
      <c r="LUC21"/>
      <c r="LUD21"/>
      <c r="LUE21"/>
      <c r="LUF21"/>
      <c r="LUG21"/>
      <c r="LUH21"/>
      <c r="LUI21"/>
      <c r="LUJ21"/>
      <c r="LUK21"/>
      <c r="LUL21"/>
      <c r="LUM21"/>
      <c r="LUN21"/>
      <c r="LUO21"/>
      <c r="LUP21"/>
      <c r="LUQ21"/>
      <c r="LUR21"/>
      <c r="LUS21"/>
      <c r="LUT21"/>
      <c r="LUU21"/>
      <c r="LUV21"/>
      <c r="LUW21"/>
      <c r="LUX21"/>
      <c r="LUY21"/>
      <c r="LUZ21"/>
      <c r="LVA21"/>
      <c r="LVB21"/>
      <c r="LVC21"/>
      <c r="LVD21"/>
      <c r="LVE21"/>
      <c r="LVF21"/>
      <c r="LVG21"/>
      <c r="LVH21"/>
      <c r="LVI21"/>
      <c r="LVJ21"/>
      <c r="LVK21"/>
      <c r="LVL21"/>
      <c r="LVM21"/>
      <c r="LVN21"/>
      <c r="LVO21"/>
      <c r="LVP21"/>
      <c r="LVQ21"/>
      <c r="LVR21"/>
      <c r="LVS21"/>
      <c r="LVT21"/>
      <c r="LVU21"/>
      <c r="LVV21"/>
      <c r="LVW21"/>
      <c r="LVX21"/>
      <c r="LVY21"/>
      <c r="LVZ21"/>
      <c r="LWA21"/>
      <c r="LWB21"/>
      <c r="LWC21"/>
      <c r="LWD21"/>
      <c r="LWE21"/>
      <c r="LWF21"/>
      <c r="LWG21"/>
      <c r="LWH21"/>
      <c r="LWI21"/>
      <c r="LWJ21"/>
      <c r="LWK21"/>
      <c r="LWL21"/>
      <c r="LWM21"/>
      <c r="LWN21"/>
      <c r="LWO21"/>
      <c r="LWP21"/>
      <c r="LWQ21"/>
      <c r="LWR21"/>
      <c r="LWS21"/>
      <c r="LWT21"/>
      <c r="LWU21"/>
      <c r="LWV21"/>
      <c r="LWW21"/>
      <c r="LWX21"/>
      <c r="LWY21"/>
      <c r="LWZ21"/>
      <c r="LXA21"/>
      <c r="LXB21"/>
      <c r="LXC21"/>
      <c r="LXD21"/>
      <c r="LXE21"/>
      <c r="LXF21"/>
      <c r="LXG21"/>
      <c r="LXH21"/>
      <c r="LXI21"/>
      <c r="LXJ21"/>
      <c r="LXK21"/>
      <c r="LXL21"/>
      <c r="LXM21"/>
      <c r="LXN21"/>
      <c r="LXO21"/>
      <c r="LXP21"/>
      <c r="LXQ21"/>
      <c r="LXR21"/>
      <c r="LXS21"/>
      <c r="LXT21"/>
      <c r="LXU21"/>
      <c r="LXV21"/>
      <c r="LXW21"/>
      <c r="LXX21"/>
      <c r="LXY21"/>
      <c r="LXZ21"/>
      <c r="LYA21"/>
      <c r="LYB21"/>
      <c r="LYC21"/>
      <c r="LYD21"/>
      <c r="LYE21"/>
      <c r="LYF21"/>
      <c r="LYG21"/>
      <c r="LYH21"/>
      <c r="LYI21"/>
      <c r="LYJ21"/>
      <c r="LYK21"/>
      <c r="LYL21"/>
      <c r="LYM21"/>
      <c r="LYN21"/>
      <c r="LYO21"/>
      <c r="LYP21"/>
      <c r="LYQ21"/>
      <c r="LYR21"/>
      <c r="LYS21"/>
      <c r="LYT21"/>
      <c r="LYU21"/>
      <c r="LYV21"/>
      <c r="LYW21"/>
      <c r="LYX21"/>
      <c r="LYY21"/>
      <c r="LYZ21"/>
      <c r="LZA21"/>
      <c r="LZB21"/>
      <c r="LZC21"/>
      <c r="LZD21"/>
      <c r="LZE21"/>
      <c r="LZF21"/>
      <c r="LZG21"/>
      <c r="LZH21"/>
      <c r="LZI21"/>
      <c r="LZJ21"/>
      <c r="LZK21"/>
      <c r="LZL21"/>
      <c r="LZM21"/>
      <c r="LZN21"/>
      <c r="LZO21"/>
      <c r="LZP21"/>
      <c r="LZQ21"/>
      <c r="LZR21"/>
      <c r="LZS21"/>
      <c r="LZT21"/>
      <c r="LZU21"/>
      <c r="LZV21"/>
      <c r="LZW21"/>
      <c r="LZX21"/>
      <c r="LZY21"/>
      <c r="LZZ21"/>
      <c r="MAA21"/>
      <c r="MAB21"/>
      <c r="MAC21"/>
      <c r="MAD21"/>
      <c r="MAE21"/>
      <c r="MAF21"/>
      <c r="MAG21"/>
      <c r="MAH21"/>
      <c r="MAI21"/>
      <c r="MAJ21"/>
      <c r="MAK21"/>
      <c r="MAL21"/>
      <c r="MAM21"/>
      <c r="MAN21"/>
      <c r="MAO21"/>
      <c r="MAP21"/>
      <c r="MAQ21"/>
      <c r="MAR21"/>
      <c r="MAS21"/>
      <c r="MAT21"/>
      <c r="MAU21"/>
      <c r="MAV21"/>
      <c r="MAW21"/>
      <c r="MAX21"/>
      <c r="MAY21"/>
      <c r="MAZ21"/>
      <c r="MBA21"/>
      <c r="MBB21"/>
      <c r="MBC21"/>
      <c r="MBD21"/>
      <c r="MBE21"/>
      <c r="MBF21"/>
      <c r="MBG21"/>
      <c r="MBH21"/>
      <c r="MBI21"/>
      <c r="MBJ21"/>
      <c r="MBK21"/>
      <c r="MBL21"/>
      <c r="MBM21"/>
      <c r="MBN21"/>
      <c r="MBO21"/>
      <c r="MBP21"/>
      <c r="MBQ21"/>
      <c r="MBR21"/>
      <c r="MBS21"/>
      <c r="MBT21"/>
      <c r="MBU21"/>
      <c r="MBV21"/>
      <c r="MBW21"/>
      <c r="MBX21"/>
      <c r="MBY21"/>
      <c r="MBZ21"/>
      <c r="MCA21"/>
      <c r="MCB21"/>
      <c r="MCC21"/>
      <c r="MCD21"/>
      <c r="MCE21"/>
      <c r="MCF21"/>
      <c r="MCG21"/>
      <c r="MCH21"/>
      <c r="MCI21"/>
      <c r="MCJ21"/>
      <c r="MCK21"/>
      <c r="MCL21"/>
      <c r="MCM21"/>
      <c r="MCN21"/>
      <c r="MCO21"/>
      <c r="MCP21"/>
      <c r="MCQ21"/>
      <c r="MCR21"/>
      <c r="MCS21"/>
      <c r="MCT21"/>
      <c r="MCU21"/>
      <c r="MCV21"/>
      <c r="MCW21"/>
      <c r="MCX21"/>
      <c r="MCY21"/>
      <c r="MCZ21"/>
      <c r="MDA21"/>
      <c r="MDB21"/>
      <c r="MDC21"/>
      <c r="MDD21"/>
      <c r="MDE21"/>
      <c r="MDF21"/>
      <c r="MDG21"/>
      <c r="MDH21"/>
      <c r="MDI21"/>
      <c r="MDJ21"/>
      <c r="MDK21"/>
      <c r="MDL21"/>
      <c r="MDM21"/>
      <c r="MDN21"/>
      <c r="MDO21"/>
      <c r="MDP21"/>
      <c r="MDQ21"/>
      <c r="MDR21"/>
      <c r="MDS21"/>
      <c r="MDT21"/>
      <c r="MDU21"/>
      <c r="MDV21"/>
      <c r="MDW21"/>
      <c r="MDX21"/>
      <c r="MDY21"/>
      <c r="MDZ21"/>
      <c r="MEA21"/>
      <c r="MEB21"/>
      <c r="MEC21"/>
      <c r="MED21"/>
      <c r="MEE21"/>
      <c r="MEF21"/>
      <c r="MEG21"/>
      <c r="MEH21"/>
      <c r="MEI21"/>
      <c r="MEJ21"/>
      <c r="MEK21"/>
      <c r="MEL21"/>
      <c r="MEM21"/>
      <c r="MEN21"/>
      <c r="MEO21"/>
      <c r="MEP21"/>
      <c r="MEQ21"/>
      <c r="MER21"/>
      <c r="MES21"/>
      <c r="MET21"/>
      <c r="MEU21"/>
      <c r="MEV21"/>
      <c r="MEW21"/>
      <c r="MEX21"/>
      <c r="MEY21"/>
      <c r="MEZ21"/>
      <c r="MFA21"/>
      <c r="MFB21"/>
      <c r="MFC21"/>
      <c r="MFD21"/>
      <c r="MFE21"/>
      <c r="MFF21"/>
      <c r="MFG21"/>
      <c r="MFH21"/>
      <c r="MFI21"/>
      <c r="MFJ21"/>
      <c r="MFK21"/>
      <c r="MFL21"/>
      <c r="MFM21"/>
      <c r="MFN21"/>
      <c r="MFO21"/>
      <c r="MFP21"/>
      <c r="MFQ21"/>
      <c r="MFR21"/>
      <c r="MFS21"/>
      <c r="MFT21"/>
      <c r="MFU21"/>
      <c r="MFV21"/>
      <c r="MFW21"/>
      <c r="MFX21"/>
      <c r="MFY21"/>
      <c r="MFZ21"/>
      <c r="MGA21"/>
      <c r="MGB21"/>
      <c r="MGC21"/>
      <c r="MGD21"/>
      <c r="MGE21"/>
      <c r="MGF21"/>
      <c r="MGG21"/>
      <c r="MGH21"/>
      <c r="MGI21"/>
      <c r="MGJ21"/>
      <c r="MGK21"/>
      <c r="MGL21"/>
      <c r="MGM21"/>
      <c r="MGN21"/>
      <c r="MGO21"/>
      <c r="MGP21"/>
      <c r="MGQ21"/>
      <c r="MGR21"/>
      <c r="MGS21"/>
      <c r="MGT21"/>
      <c r="MGU21"/>
      <c r="MGV21"/>
      <c r="MGW21"/>
      <c r="MGX21"/>
      <c r="MGY21"/>
      <c r="MGZ21"/>
      <c r="MHA21"/>
      <c r="MHB21"/>
      <c r="MHC21"/>
      <c r="MHD21"/>
      <c r="MHE21"/>
      <c r="MHF21"/>
      <c r="MHG21"/>
      <c r="MHH21"/>
      <c r="MHI21"/>
      <c r="MHJ21"/>
      <c r="MHK21"/>
      <c r="MHL21"/>
      <c r="MHM21"/>
      <c r="MHN21"/>
      <c r="MHO21"/>
      <c r="MHP21"/>
      <c r="MHQ21"/>
      <c r="MHR21"/>
      <c r="MHS21"/>
      <c r="MHT21"/>
      <c r="MHU21"/>
      <c r="MHV21"/>
      <c r="MHW21"/>
      <c r="MHX21"/>
      <c r="MHY21"/>
      <c r="MHZ21"/>
      <c r="MIA21"/>
      <c r="MIB21"/>
      <c r="MIC21"/>
      <c r="MID21"/>
      <c r="MIE21"/>
      <c r="MIF21"/>
      <c r="MIG21"/>
      <c r="MIH21"/>
      <c r="MII21"/>
      <c r="MIJ21"/>
      <c r="MIK21"/>
      <c r="MIL21"/>
      <c r="MIM21"/>
      <c r="MIN21"/>
      <c r="MIO21"/>
      <c r="MIP21"/>
      <c r="MIQ21"/>
      <c r="MIR21"/>
      <c r="MIS21"/>
      <c r="MIT21"/>
      <c r="MIU21"/>
      <c r="MIV21"/>
      <c r="MIW21"/>
      <c r="MIX21"/>
      <c r="MIY21"/>
      <c r="MIZ21"/>
      <c r="MJA21"/>
      <c r="MJB21"/>
      <c r="MJC21"/>
      <c r="MJD21"/>
      <c r="MJE21"/>
      <c r="MJF21"/>
      <c r="MJG21"/>
      <c r="MJH21"/>
      <c r="MJI21"/>
      <c r="MJJ21"/>
      <c r="MJK21"/>
      <c r="MJL21"/>
      <c r="MJM21"/>
      <c r="MJN21"/>
      <c r="MJO21"/>
      <c r="MJP21"/>
      <c r="MJQ21"/>
      <c r="MJR21"/>
      <c r="MJS21"/>
      <c r="MJT21"/>
      <c r="MJU21"/>
      <c r="MJV21"/>
      <c r="MJW21"/>
      <c r="MJX21"/>
      <c r="MJY21"/>
      <c r="MJZ21"/>
      <c r="MKA21"/>
      <c r="MKB21"/>
      <c r="MKC21"/>
      <c r="MKD21"/>
      <c r="MKE21"/>
      <c r="MKF21"/>
      <c r="MKG21"/>
      <c r="MKH21"/>
      <c r="MKI21"/>
      <c r="MKJ21"/>
      <c r="MKK21"/>
      <c r="MKL21"/>
      <c r="MKM21"/>
      <c r="MKN21"/>
      <c r="MKO21"/>
      <c r="MKP21"/>
      <c r="MKQ21"/>
      <c r="MKR21"/>
      <c r="MKS21"/>
      <c r="MKT21"/>
      <c r="MKU21"/>
      <c r="MKV21"/>
      <c r="MKW21"/>
      <c r="MKX21"/>
      <c r="MKY21"/>
      <c r="MKZ21"/>
      <c r="MLA21"/>
      <c r="MLB21"/>
      <c r="MLC21"/>
      <c r="MLD21"/>
      <c r="MLE21"/>
      <c r="MLF21"/>
      <c r="MLG21"/>
      <c r="MLH21"/>
      <c r="MLI21"/>
      <c r="MLJ21"/>
      <c r="MLK21"/>
      <c r="MLL21"/>
      <c r="MLM21"/>
      <c r="MLN21"/>
      <c r="MLO21"/>
      <c r="MLP21"/>
      <c r="MLQ21"/>
      <c r="MLR21"/>
      <c r="MLS21"/>
      <c r="MLT21"/>
      <c r="MLU21"/>
      <c r="MLV21"/>
      <c r="MLW21"/>
      <c r="MLX21"/>
      <c r="MLY21"/>
      <c r="MLZ21"/>
      <c r="MMA21"/>
      <c r="MMB21"/>
      <c r="MMC21"/>
      <c r="MMD21"/>
      <c r="MME21"/>
      <c r="MMF21"/>
      <c r="MMG21"/>
      <c r="MMH21"/>
      <c r="MMI21"/>
      <c r="MMJ21"/>
      <c r="MMK21"/>
      <c r="MML21"/>
      <c r="MMM21"/>
      <c r="MMN21"/>
      <c r="MMO21"/>
      <c r="MMP21"/>
      <c r="MMQ21"/>
      <c r="MMR21"/>
      <c r="MMS21"/>
      <c r="MMT21"/>
      <c r="MMU21"/>
      <c r="MMV21"/>
      <c r="MMW21"/>
      <c r="MMX21"/>
      <c r="MMY21"/>
      <c r="MMZ21"/>
      <c r="MNA21"/>
      <c r="MNB21"/>
      <c r="MNC21"/>
      <c r="MND21"/>
      <c r="MNE21"/>
      <c r="MNF21"/>
      <c r="MNG21"/>
      <c r="MNH21"/>
      <c r="MNI21"/>
      <c r="MNJ21"/>
      <c r="MNK21"/>
      <c r="MNL21"/>
      <c r="MNM21"/>
      <c r="MNN21"/>
      <c r="MNO21"/>
      <c r="MNP21"/>
      <c r="MNQ21"/>
      <c r="MNR21"/>
      <c r="MNS21"/>
      <c r="MNT21"/>
      <c r="MNU21"/>
      <c r="MNV21"/>
      <c r="MNW21"/>
      <c r="MNX21"/>
      <c r="MNY21"/>
      <c r="MNZ21"/>
      <c r="MOA21"/>
      <c r="MOB21"/>
      <c r="MOC21"/>
      <c r="MOD21"/>
      <c r="MOE21"/>
      <c r="MOF21"/>
      <c r="MOG21"/>
      <c r="MOH21"/>
      <c r="MOI21"/>
      <c r="MOJ21"/>
      <c r="MOK21"/>
      <c r="MOL21"/>
      <c r="MOM21"/>
      <c r="MON21"/>
      <c r="MOO21"/>
      <c r="MOP21"/>
      <c r="MOQ21"/>
      <c r="MOR21"/>
      <c r="MOS21"/>
      <c r="MOT21"/>
      <c r="MOU21"/>
      <c r="MOV21"/>
      <c r="MOW21"/>
      <c r="MOX21"/>
      <c r="MOY21"/>
      <c r="MOZ21"/>
      <c r="MPA21"/>
      <c r="MPB21"/>
      <c r="MPC21"/>
      <c r="MPD21"/>
      <c r="MPE21"/>
      <c r="MPF21"/>
      <c r="MPG21"/>
      <c r="MPH21"/>
      <c r="MPI21"/>
      <c r="MPJ21"/>
      <c r="MPK21"/>
      <c r="MPL21"/>
      <c r="MPM21"/>
      <c r="MPN21"/>
      <c r="MPO21"/>
      <c r="MPP21"/>
      <c r="MPQ21"/>
      <c r="MPR21"/>
      <c r="MPS21"/>
      <c r="MPT21"/>
      <c r="MPU21"/>
      <c r="MPV21"/>
      <c r="MPW21"/>
      <c r="MPX21"/>
      <c r="MPY21"/>
      <c r="MPZ21"/>
      <c r="MQA21"/>
      <c r="MQB21"/>
      <c r="MQC21"/>
      <c r="MQD21"/>
      <c r="MQE21"/>
      <c r="MQF21"/>
      <c r="MQG21"/>
      <c r="MQH21"/>
      <c r="MQI21"/>
      <c r="MQJ21"/>
      <c r="MQK21"/>
      <c r="MQL21"/>
      <c r="MQM21"/>
      <c r="MQN21"/>
      <c r="MQO21"/>
      <c r="MQP21"/>
      <c r="MQQ21"/>
      <c r="MQR21"/>
      <c r="MQS21"/>
      <c r="MQT21"/>
      <c r="MQU21"/>
      <c r="MQV21"/>
      <c r="MQW21"/>
      <c r="MQX21"/>
      <c r="MQY21"/>
      <c r="MQZ21"/>
      <c r="MRA21"/>
      <c r="MRB21"/>
      <c r="MRC21"/>
      <c r="MRD21"/>
      <c r="MRE21"/>
      <c r="MRF21"/>
      <c r="MRG21"/>
      <c r="MRH21"/>
      <c r="MRI21"/>
      <c r="MRJ21"/>
      <c r="MRK21"/>
      <c r="MRL21"/>
      <c r="MRM21"/>
      <c r="MRN21"/>
      <c r="MRO21"/>
      <c r="MRP21"/>
      <c r="MRQ21"/>
      <c r="MRR21"/>
      <c r="MRS21"/>
      <c r="MRT21"/>
      <c r="MRU21"/>
      <c r="MRV21"/>
      <c r="MRW21"/>
      <c r="MRX21"/>
      <c r="MRY21"/>
      <c r="MRZ21"/>
      <c r="MSA21"/>
      <c r="MSB21"/>
      <c r="MSC21"/>
      <c r="MSD21"/>
      <c r="MSE21"/>
      <c r="MSF21"/>
      <c r="MSG21"/>
      <c r="MSH21"/>
      <c r="MSI21"/>
      <c r="MSJ21"/>
      <c r="MSK21"/>
      <c r="MSL21"/>
      <c r="MSM21"/>
      <c r="MSN21"/>
      <c r="MSO21"/>
      <c r="MSP21"/>
      <c r="MSQ21"/>
      <c r="MSR21"/>
      <c r="MSS21"/>
      <c r="MST21"/>
      <c r="MSU21"/>
      <c r="MSV21"/>
      <c r="MSW21"/>
      <c r="MSX21"/>
      <c r="MSY21"/>
      <c r="MSZ21"/>
      <c r="MTA21"/>
      <c r="MTB21"/>
      <c r="MTC21"/>
      <c r="MTD21"/>
      <c r="MTE21"/>
      <c r="MTF21"/>
      <c r="MTG21"/>
      <c r="MTH21"/>
      <c r="MTI21"/>
      <c r="MTJ21"/>
      <c r="MTK21"/>
      <c r="MTL21"/>
      <c r="MTM21"/>
      <c r="MTN21"/>
      <c r="MTO21"/>
      <c r="MTP21"/>
      <c r="MTQ21"/>
      <c r="MTR21"/>
      <c r="MTS21"/>
      <c r="MTT21"/>
      <c r="MTU21"/>
      <c r="MTV21"/>
      <c r="MTW21"/>
      <c r="MTX21"/>
      <c r="MTY21"/>
      <c r="MTZ21"/>
      <c r="MUA21"/>
      <c r="MUB21"/>
      <c r="MUC21"/>
      <c r="MUD21"/>
      <c r="MUE21"/>
      <c r="MUF21"/>
      <c r="MUG21"/>
      <c r="MUH21"/>
      <c r="MUI21"/>
      <c r="MUJ21"/>
      <c r="MUK21"/>
      <c r="MUL21"/>
      <c r="MUM21"/>
      <c r="MUN21"/>
      <c r="MUO21"/>
      <c r="MUP21"/>
      <c r="MUQ21"/>
      <c r="MUR21"/>
      <c r="MUS21"/>
      <c r="MUT21"/>
      <c r="MUU21"/>
      <c r="MUV21"/>
      <c r="MUW21"/>
      <c r="MUX21"/>
      <c r="MUY21"/>
      <c r="MUZ21"/>
      <c r="MVA21"/>
      <c r="MVB21"/>
      <c r="MVC21"/>
      <c r="MVD21"/>
      <c r="MVE21"/>
      <c r="MVF21"/>
      <c r="MVG21"/>
      <c r="MVH21"/>
      <c r="MVI21"/>
      <c r="MVJ21"/>
      <c r="MVK21"/>
      <c r="MVL21"/>
      <c r="MVM21"/>
      <c r="MVN21"/>
      <c r="MVO21"/>
      <c r="MVP21"/>
      <c r="MVQ21"/>
      <c r="MVR21"/>
      <c r="MVS21"/>
      <c r="MVT21"/>
      <c r="MVU21"/>
      <c r="MVV21"/>
      <c r="MVW21"/>
      <c r="MVX21"/>
      <c r="MVY21"/>
      <c r="MVZ21"/>
      <c r="MWA21"/>
      <c r="MWB21"/>
      <c r="MWC21"/>
      <c r="MWD21"/>
      <c r="MWE21"/>
      <c r="MWF21"/>
      <c r="MWG21"/>
      <c r="MWH21"/>
      <c r="MWI21"/>
      <c r="MWJ21"/>
      <c r="MWK21"/>
      <c r="MWL21"/>
      <c r="MWM21"/>
      <c r="MWN21"/>
      <c r="MWO21"/>
      <c r="MWP21"/>
      <c r="MWQ21"/>
      <c r="MWR21"/>
      <c r="MWS21"/>
      <c r="MWT21"/>
      <c r="MWU21"/>
      <c r="MWV21"/>
      <c r="MWW21"/>
      <c r="MWX21"/>
      <c r="MWY21"/>
      <c r="MWZ21"/>
      <c r="MXA21"/>
      <c r="MXB21"/>
      <c r="MXC21"/>
      <c r="MXD21"/>
      <c r="MXE21"/>
      <c r="MXF21"/>
      <c r="MXG21"/>
      <c r="MXH21"/>
      <c r="MXI21"/>
      <c r="MXJ21"/>
      <c r="MXK21"/>
      <c r="MXL21"/>
      <c r="MXM21"/>
      <c r="MXN21"/>
      <c r="MXO21"/>
      <c r="MXP21"/>
      <c r="MXQ21"/>
      <c r="MXR21"/>
      <c r="MXS21"/>
      <c r="MXT21"/>
      <c r="MXU21"/>
      <c r="MXV21"/>
      <c r="MXW21"/>
      <c r="MXX21"/>
      <c r="MXY21"/>
      <c r="MXZ21"/>
      <c r="MYA21"/>
      <c r="MYB21"/>
      <c r="MYC21"/>
      <c r="MYD21"/>
      <c r="MYE21"/>
      <c r="MYF21"/>
      <c r="MYG21"/>
      <c r="MYH21"/>
      <c r="MYI21"/>
      <c r="MYJ21"/>
      <c r="MYK21"/>
      <c r="MYL21"/>
      <c r="MYM21"/>
      <c r="MYN21"/>
      <c r="MYO21"/>
      <c r="MYP21"/>
      <c r="MYQ21"/>
      <c r="MYR21"/>
      <c r="MYS21"/>
      <c r="MYT21"/>
      <c r="MYU21"/>
      <c r="MYV21"/>
      <c r="MYW21"/>
      <c r="MYX21"/>
      <c r="MYY21"/>
      <c r="MYZ21"/>
      <c r="MZA21"/>
      <c r="MZB21"/>
      <c r="MZC21"/>
      <c r="MZD21"/>
      <c r="MZE21"/>
      <c r="MZF21"/>
      <c r="MZG21"/>
      <c r="MZH21"/>
      <c r="MZI21"/>
      <c r="MZJ21"/>
      <c r="MZK21"/>
      <c r="MZL21"/>
      <c r="MZM21"/>
      <c r="MZN21"/>
      <c r="MZO21"/>
      <c r="MZP21"/>
      <c r="MZQ21"/>
      <c r="MZR21"/>
      <c r="MZS21"/>
      <c r="MZT21"/>
      <c r="MZU21"/>
      <c r="MZV21"/>
      <c r="MZW21"/>
      <c r="MZX21"/>
      <c r="MZY21"/>
      <c r="MZZ21"/>
      <c r="NAA21"/>
      <c r="NAB21"/>
      <c r="NAC21"/>
      <c r="NAD21"/>
      <c r="NAE21"/>
      <c r="NAF21"/>
      <c r="NAG21"/>
      <c r="NAH21"/>
      <c r="NAI21"/>
      <c r="NAJ21"/>
      <c r="NAK21"/>
      <c r="NAL21"/>
      <c r="NAM21"/>
      <c r="NAN21"/>
      <c r="NAO21"/>
      <c r="NAP21"/>
      <c r="NAQ21"/>
      <c r="NAR21"/>
      <c r="NAS21"/>
      <c r="NAT21"/>
      <c r="NAU21"/>
      <c r="NAV21"/>
      <c r="NAW21"/>
      <c r="NAX21"/>
      <c r="NAY21"/>
      <c r="NAZ21"/>
      <c r="NBA21"/>
      <c r="NBB21"/>
      <c r="NBC21"/>
      <c r="NBD21"/>
      <c r="NBE21"/>
      <c r="NBF21"/>
      <c r="NBG21"/>
      <c r="NBH21"/>
      <c r="NBI21"/>
      <c r="NBJ21"/>
      <c r="NBK21"/>
      <c r="NBL21"/>
      <c r="NBM21"/>
      <c r="NBN21"/>
      <c r="NBO21"/>
      <c r="NBP21"/>
      <c r="NBQ21"/>
      <c r="NBR21"/>
      <c r="NBS21"/>
      <c r="NBT21"/>
      <c r="NBU21"/>
      <c r="NBV21"/>
      <c r="NBW21"/>
      <c r="NBX21"/>
      <c r="NBY21"/>
      <c r="NBZ21"/>
      <c r="NCA21"/>
      <c r="NCB21"/>
      <c r="NCC21"/>
      <c r="NCD21"/>
      <c r="NCE21"/>
      <c r="NCF21"/>
      <c r="NCG21"/>
      <c r="NCH21"/>
      <c r="NCI21"/>
      <c r="NCJ21"/>
      <c r="NCK21"/>
      <c r="NCL21"/>
      <c r="NCM21"/>
      <c r="NCN21"/>
      <c r="NCO21"/>
      <c r="NCP21"/>
      <c r="NCQ21"/>
      <c r="NCR21"/>
      <c r="NCS21"/>
      <c r="NCT21"/>
      <c r="NCU21"/>
      <c r="NCV21"/>
      <c r="NCW21"/>
      <c r="NCX21"/>
      <c r="NCY21"/>
      <c r="NCZ21"/>
      <c r="NDA21"/>
      <c r="NDB21"/>
      <c r="NDC21"/>
      <c r="NDD21"/>
      <c r="NDE21"/>
      <c r="NDF21"/>
      <c r="NDG21"/>
      <c r="NDH21"/>
      <c r="NDI21"/>
      <c r="NDJ21"/>
      <c r="NDK21"/>
      <c r="NDL21"/>
      <c r="NDM21"/>
      <c r="NDN21"/>
      <c r="NDO21"/>
      <c r="NDP21"/>
      <c r="NDQ21"/>
      <c r="NDR21"/>
      <c r="NDS21"/>
      <c r="NDT21"/>
      <c r="NDU21"/>
      <c r="NDV21"/>
      <c r="NDW21"/>
      <c r="NDX21"/>
      <c r="NDY21"/>
      <c r="NDZ21"/>
      <c r="NEA21"/>
      <c r="NEB21"/>
      <c r="NEC21"/>
      <c r="NED21"/>
      <c r="NEE21"/>
      <c r="NEF21"/>
      <c r="NEG21"/>
      <c r="NEH21"/>
      <c r="NEI21"/>
      <c r="NEJ21"/>
      <c r="NEK21"/>
      <c r="NEL21"/>
      <c r="NEM21"/>
      <c r="NEN21"/>
      <c r="NEO21"/>
      <c r="NEP21"/>
      <c r="NEQ21"/>
      <c r="NER21"/>
      <c r="NES21"/>
      <c r="NET21"/>
      <c r="NEU21"/>
      <c r="NEV21"/>
      <c r="NEW21"/>
      <c r="NEX21"/>
      <c r="NEY21"/>
      <c r="NEZ21"/>
      <c r="NFA21"/>
      <c r="NFB21"/>
      <c r="NFC21"/>
      <c r="NFD21"/>
      <c r="NFE21"/>
      <c r="NFF21"/>
      <c r="NFG21"/>
      <c r="NFH21"/>
      <c r="NFI21"/>
      <c r="NFJ21"/>
      <c r="NFK21"/>
      <c r="NFL21"/>
      <c r="NFM21"/>
      <c r="NFN21"/>
      <c r="NFO21"/>
      <c r="NFP21"/>
      <c r="NFQ21"/>
      <c r="NFR21"/>
      <c r="NFS21"/>
      <c r="NFT21"/>
      <c r="NFU21"/>
      <c r="NFV21"/>
      <c r="NFW21"/>
      <c r="NFX21"/>
      <c r="NFY21"/>
      <c r="NFZ21"/>
      <c r="NGA21"/>
      <c r="NGB21"/>
      <c r="NGC21"/>
      <c r="NGD21"/>
      <c r="NGE21"/>
      <c r="NGF21"/>
      <c r="NGG21"/>
      <c r="NGH21"/>
      <c r="NGI21"/>
      <c r="NGJ21"/>
      <c r="NGK21"/>
      <c r="NGL21"/>
      <c r="NGM21"/>
      <c r="NGN21"/>
      <c r="NGO21"/>
      <c r="NGP21"/>
      <c r="NGQ21"/>
      <c r="NGR21"/>
      <c r="NGS21"/>
      <c r="NGT21"/>
      <c r="NGU21"/>
      <c r="NGV21"/>
      <c r="NGW21"/>
      <c r="NGX21"/>
      <c r="NGY21"/>
      <c r="NGZ21"/>
      <c r="NHA21"/>
      <c r="NHB21"/>
      <c r="NHC21"/>
      <c r="NHD21"/>
      <c r="NHE21"/>
      <c r="NHF21"/>
      <c r="NHG21"/>
      <c r="NHH21"/>
      <c r="NHI21"/>
      <c r="NHJ21"/>
      <c r="NHK21"/>
      <c r="NHL21"/>
      <c r="NHM21"/>
      <c r="NHN21"/>
      <c r="NHO21"/>
      <c r="NHP21"/>
      <c r="NHQ21"/>
      <c r="NHR21"/>
      <c r="NHS21"/>
      <c r="NHT21"/>
      <c r="NHU21"/>
      <c r="NHV21"/>
      <c r="NHW21"/>
      <c r="NHX21"/>
      <c r="NHY21"/>
      <c r="NHZ21"/>
      <c r="NIA21"/>
      <c r="NIB21"/>
      <c r="NIC21"/>
      <c r="NID21"/>
      <c r="NIE21"/>
      <c r="NIF21"/>
      <c r="NIG21"/>
      <c r="NIH21"/>
      <c r="NII21"/>
      <c r="NIJ21"/>
      <c r="NIK21"/>
      <c r="NIL21"/>
      <c r="NIM21"/>
      <c r="NIN21"/>
      <c r="NIO21"/>
      <c r="NIP21"/>
      <c r="NIQ21"/>
      <c r="NIR21"/>
      <c r="NIS21"/>
      <c r="NIT21"/>
      <c r="NIU21"/>
      <c r="NIV21"/>
      <c r="NIW21"/>
      <c r="NIX21"/>
      <c r="NIY21"/>
      <c r="NIZ21"/>
      <c r="NJA21"/>
      <c r="NJB21"/>
      <c r="NJC21"/>
      <c r="NJD21"/>
      <c r="NJE21"/>
      <c r="NJF21"/>
      <c r="NJG21"/>
      <c r="NJH21"/>
      <c r="NJI21"/>
      <c r="NJJ21"/>
      <c r="NJK21"/>
      <c r="NJL21"/>
      <c r="NJM21"/>
      <c r="NJN21"/>
      <c r="NJO21"/>
      <c r="NJP21"/>
      <c r="NJQ21"/>
      <c r="NJR21"/>
      <c r="NJS21"/>
      <c r="NJT21"/>
      <c r="NJU21"/>
      <c r="NJV21"/>
      <c r="NJW21"/>
      <c r="NJX21"/>
      <c r="NJY21"/>
      <c r="NJZ21"/>
      <c r="NKA21"/>
      <c r="NKB21"/>
      <c r="NKC21"/>
      <c r="NKD21"/>
      <c r="NKE21"/>
      <c r="NKF21"/>
      <c r="NKG21"/>
      <c r="NKH21"/>
      <c r="NKI21"/>
      <c r="NKJ21"/>
      <c r="NKK21"/>
      <c r="NKL21"/>
      <c r="NKM21"/>
      <c r="NKN21"/>
      <c r="NKO21"/>
      <c r="NKP21"/>
      <c r="NKQ21"/>
      <c r="NKR21"/>
      <c r="NKS21"/>
      <c r="NKT21"/>
      <c r="NKU21"/>
      <c r="NKV21"/>
      <c r="NKW21"/>
      <c r="NKX21"/>
      <c r="NKY21"/>
      <c r="NKZ21"/>
      <c r="NLA21"/>
      <c r="NLB21"/>
      <c r="NLC21"/>
      <c r="NLD21"/>
      <c r="NLE21"/>
      <c r="NLF21"/>
      <c r="NLG21"/>
      <c r="NLH21"/>
      <c r="NLI21"/>
      <c r="NLJ21"/>
      <c r="NLK21"/>
      <c r="NLL21"/>
      <c r="NLM21"/>
      <c r="NLN21"/>
      <c r="NLO21"/>
      <c r="NLP21"/>
      <c r="NLQ21"/>
      <c r="NLR21"/>
      <c r="NLS21"/>
      <c r="NLT21"/>
      <c r="NLU21"/>
      <c r="NLV21"/>
      <c r="NLW21"/>
      <c r="NLX21"/>
      <c r="NLY21"/>
      <c r="NLZ21"/>
      <c r="NMA21"/>
      <c r="NMB21"/>
      <c r="NMC21"/>
      <c r="NMD21"/>
      <c r="NME21"/>
      <c r="NMF21"/>
      <c r="NMG21"/>
      <c r="NMH21"/>
      <c r="NMI21"/>
      <c r="NMJ21"/>
      <c r="NMK21"/>
      <c r="NML21"/>
      <c r="NMM21"/>
      <c r="NMN21"/>
      <c r="NMO21"/>
      <c r="NMP21"/>
      <c r="NMQ21"/>
      <c r="NMR21"/>
      <c r="NMS21"/>
      <c r="NMT21"/>
      <c r="NMU21"/>
      <c r="NMV21"/>
      <c r="NMW21"/>
      <c r="NMX21"/>
      <c r="NMY21"/>
      <c r="NMZ21"/>
      <c r="NNA21"/>
      <c r="NNB21"/>
      <c r="NNC21"/>
      <c r="NND21"/>
      <c r="NNE21"/>
      <c r="NNF21"/>
      <c r="NNG21"/>
      <c r="NNH21"/>
      <c r="NNI21"/>
      <c r="NNJ21"/>
      <c r="NNK21"/>
      <c r="NNL21"/>
      <c r="NNM21"/>
      <c r="NNN21"/>
      <c r="NNO21"/>
      <c r="NNP21"/>
      <c r="NNQ21"/>
      <c r="NNR21"/>
      <c r="NNS21"/>
      <c r="NNT21"/>
      <c r="NNU21"/>
      <c r="NNV21"/>
      <c r="NNW21"/>
      <c r="NNX21"/>
      <c r="NNY21"/>
      <c r="NNZ21"/>
      <c r="NOA21"/>
      <c r="NOB21"/>
      <c r="NOC21"/>
      <c r="NOD21"/>
      <c r="NOE21"/>
      <c r="NOF21"/>
      <c r="NOG21"/>
      <c r="NOH21"/>
      <c r="NOI21"/>
      <c r="NOJ21"/>
      <c r="NOK21"/>
      <c r="NOL21"/>
      <c r="NOM21"/>
      <c r="NON21"/>
      <c r="NOO21"/>
      <c r="NOP21"/>
      <c r="NOQ21"/>
      <c r="NOR21"/>
      <c r="NOS21"/>
      <c r="NOT21"/>
      <c r="NOU21"/>
      <c r="NOV21"/>
      <c r="NOW21"/>
      <c r="NOX21"/>
      <c r="NOY21"/>
      <c r="NOZ21"/>
      <c r="NPA21"/>
      <c r="NPB21"/>
      <c r="NPC21"/>
      <c r="NPD21"/>
      <c r="NPE21"/>
      <c r="NPF21"/>
      <c r="NPG21"/>
      <c r="NPH21"/>
      <c r="NPI21"/>
      <c r="NPJ21"/>
      <c r="NPK21"/>
      <c r="NPL21"/>
      <c r="NPM21"/>
      <c r="NPN21"/>
      <c r="NPO21"/>
      <c r="NPP21"/>
      <c r="NPQ21"/>
      <c r="NPR21"/>
      <c r="NPS21"/>
      <c r="NPT21"/>
      <c r="NPU21"/>
      <c r="NPV21"/>
      <c r="NPW21"/>
      <c r="NPX21"/>
      <c r="NPY21"/>
      <c r="NPZ21"/>
      <c r="NQA21"/>
      <c r="NQB21"/>
      <c r="NQC21"/>
      <c r="NQD21"/>
      <c r="NQE21"/>
      <c r="NQF21"/>
      <c r="NQG21"/>
      <c r="NQH21"/>
      <c r="NQI21"/>
      <c r="NQJ21"/>
      <c r="NQK21"/>
      <c r="NQL21"/>
      <c r="NQM21"/>
      <c r="NQN21"/>
      <c r="NQO21"/>
      <c r="NQP21"/>
      <c r="NQQ21"/>
      <c r="NQR21"/>
      <c r="NQS21"/>
      <c r="NQT21"/>
      <c r="NQU21"/>
      <c r="NQV21"/>
      <c r="NQW21"/>
      <c r="NQX21"/>
      <c r="NQY21"/>
      <c r="NQZ21"/>
      <c r="NRA21"/>
      <c r="NRB21"/>
      <c r="NRC21"/>
      <c r="NRD21"/>
      <c r="NRE21"/>
      <c r="NRF21"/>
      <c r="NRG21"/>
      <c r="NRH21"/>
      <c r="NRI21"/>
      <c r="NRJ21"/>
      <c r="NRK21"/>
      <c r="NRL21"/>
      <c r="NRM21"/>
      <c r="NRN21"/>
      <c r="NRO21"/>
      <c r="NRP21"/>
      <c r="NRQ21"/>
      <c r="NRR21"/>
      <c r="NRS21"/>
      <c r="NRT21"/>
      <c r="NRU21"/>
      <c r="NRV21"/>
      <c r="NRW21"/>
      <c r="NRX21"/>
      <c r="NRY21"/>
      <c r="NRZ21"/>
      <c r="NSA21"/>
      <c r="NSB21"/>
      <c r="NSC21"/>
      <c r="NSD21"/>
      <c r="NSE21"/>
      <c r="NSF21"/>
      <c r="NSG21"/>
      <c r="NSH21"/>
      <c r="NSI21"/>
      <c r="NSJ21"/>
      <c r="NSK21"/>
      <c r="NSL21"/>
      <c r="NSM21"/>
      <c r="NSN21"/>
      <c r="NSO21"/>
      <c r="NSP21"/>
      <c r="NSQ21"/>
      <c r="NSR21"/>
      <c r="NSS21"/>
      <c r="NST21"/>
      <c r="NSU21"/>
      <c r="NSV21"/>
      <c r="NSW21"/>
      <c r="NSX21"/>
      <c r="NSY21"/>
      <c r="NSZ21"/>
      <c r="NTA21"/>
      <c r="NTB21"/>
      <c r="NTC21"/>
      <c r="NTD21"/>
      <c r="NTE21"/>
      <c r="NTF21"/>
      <c r="NTG21"/>
      <c r="NTH21"/>
      <c r="NTI21"/>
      <c r="NTJ21"/>
      <c r="NTK21"/>
      <c r="NTL21"/>
      <c r="NTM21"/>
      <c r="NTN21"/>
      <c r="NTO21"/>
      <c r="NTP21"/>
      <c r="NTQ21"/>
      <c r="NTR21"/>
      <c r="NTS21"/>
      <c r="NTT21"/>
      <c r="NTU21"/>
      <c r="NTV21"/>
      <c r="NTW21"/>
      <c r="NTX21"/>
      <c r="NTY21"/>
      <c r="NTZ21"/>
      <c r="NUA21"/>
      <c r="NUB21"/>
      <c r="NUC21"/>
      <c r="NUD21"/>
      <c r="NUE21"/>
      <c r="NUF21"/>
      <c r="NUG21"/>
      <c r="NUH21"/>
      <c r="NUI21"/>
      <c r="NUJ21"/>
      <c r="NUK21"/>
      <c r="NUL21"/>
      <c r="NUM21"/>
      <c r="NUN21"/>
      <c r="NUO21"/>
      <c r="NUP21"/>
      <c r="NUQ21"/>
      <c r="NUR21"/>
      <c r="NUS21"/>
      <c r="NUT21"/>
      <c r="NUU21"/>
      <c r="NUV21"/>
      <c r="NUW21"/>
      <c r="NUX21"/>
      <c r="NUY21"/>
      <c r="NUZ21"/>
      <c r="NVA21"/>
      <c r="NVB21"/>
      <c r="NVC21"/>
      <c r="NVD21"/>
      <c r="NVE21"/>
      <c r="NVF21"/>
      <c r="NVG21"/>
      <c r="NVH21"/>
      <c r="NVI21"/>
      <c r="NVJ21"/>
      <c r="NVK21"/>
      <c r="NVL21"/>
      <c r="NVM21"/>
      <c r="NVN21"/>
      <c r="NVO21"/>
      <c r="NVP21"/>
      <c r="NVQ21"/>
      <c r="NVR21"/>
      <c r="NVS21"/>
      <c r="NVT21"/>
      <c r="NVU21"/>
      <c r="NVV21"/>
      <c r="NVW21"/>
      <c r="NVX21"/>
      <c r="NVY21"/>
      <c r="NVZ21"/>
      <c r="NWA21"/>
      <c r="NWB21"/>
      <c r="NWC21"/>
      <c r="NWD21"/>
      <c r="NWE21"/>
      <c r="NWF21"/>
      <c r="NWG21"/>
      <c r="NWH21"/>
      <c r="NWI21"/>
      <c r="NWJ21"/>
      <c r="NWK21"/>
      <c r="NWL21"/>
      <c r="NWM21"/>
      <c r="NWN21"/>
      <c r="NWO21"/>
      <c r="NWP21"/>
      <c r="NWQ21"/>
      <c r="NWR21"/>
      <c r="NWS21"/>
      <c r="NWT21"/>
      <c r="NWU21"/>
      <c r="NWV21"/>
      <c r="NWW21"/>
      <c r="NWX21"/>
      <c r="NWY21"/>
      <c r="NWZ21"/>
      <c r="NXA21"/>
      <c r="NXB21"/>
      <c r="NXC21"/>
      <c r="NXD21"/>
      <c r="NXE21"/>
      <c r="NXF21"/>
      <c r="NXG21"/>
      <c r="NXH21"/>
      <c r="NXI21"/>
      <c r="NXJ21"/>
      <c r="NXK21"/>
      <c r="NXL21"/>
      <c r="NXM21"/>
      <c r="NXN21"/>
      <c r="NXO21"/>
      <c r="NXP21"/>
      <c r="NXQ21"/>
      <c r="NXR21"/>
      <c r="NXS21"/>
      <c r="NXT21"/>
      <c r="NXU21"/>
      <c r="NXV21"/>
      <c r="NXW21"/>
      <c r="NXX21"/>
      <c r="NXY21"/>
      <c r="NXZ21"/>
      <c r="NYA21"/>
      <c r="NYB21"/>
      <c r="NYC21"/>
      <c r="NYD21"/>
      <c r="NYE21"/>
      <c r="NYF21"/>
      <c r="NYG21"/>
      <c r="NYH21"/>
      <c r="NYI21"/>
      <c r="NYJ21"/>
      <c r="NYK21"/>
      <c r="NYL21"/>
      <c r="NYM21"/>
      <c r="NYN21"/>
      <c r="NYO21"/>
      <c r="NYP21"/>
      <c r="NYQ21"/>
      <c r="NYR21"/>
      <c r="NYS21"/>
      <c r="NYT21"/>
      <c r="NYU21"/>
      <c r="NYV21"/>
      <c r="NYW21"/>
      <c r="NYX21"/>
      <c r="NYY21"/>
      <c r="NYZ21"/>
      <c r="NZA21"/>
      <c r="NZB21"/>
      <c r="NZC21"/>
      <c r="NZD21"/>
      <c r="NZE21"/>
      <c r="NZF21"/>
      <c r="NZG21"/>
      <c r="NZH21"/>
      <c r="NZI21"/>
      <c r="NZJ21"/>
      <c r="NZK21"/>
      <c r="NZL21"/>
      <c r="NZM21"/>
      <c r="NZN21"/>
      <c r="NZO21"/>
      <c r="NZP21"/>
      <c r="NZQ21"/>
      <c r="NZR21"/>
      <c r="NZS21"/>
      <c r="NZT21"/>
      <c r="NZU21"/>
      <c r="NZV21"/>
      <c r="NZW21"/>
      <c r="NZX21"/>
      <c r="NZY21"/>
      <c r="NZZ21"/>
      <c r="OAA21"/>
      <c r="OAB21"/>
      <c r="OAC21"/>
      <c r="OAD21"/>
      <c r="OAE21"/>
      <c r="OAF21"/>
      <c r="OAG21"/>
      <c r="OAH21"/>
      <c r="OAI21"/>
      <c r="OAJ21"/>
      <c r="OAK21"/>
      <c r="OAL21"/>
      <c r="OAM21"/>
      <c r="OAN21"/>
      <c r="OAO21"/>
      <c r="OAP21"/>
      <c r="OAQ21"/>
      <c r="OAR21"/>
      <c r="OAS21"/>
      <c r="OAT21"/>
      <c r="OAU21"/>
      <c r="OAV21"/>
      <c r="OAW21"/>
      <c r="OAX21"/>
      <c r="OAY21"/>
      <c r="OAZ21"/>
      <c r="OBA21"/>
      <c r="OBB21"/>
      <c r="OBC21"/>
      <c r="OBD21"/>
      <c r="OBE21"/>
      <c r="OBF21"/>
      <c r="OBG21"/>
      <c r="OBH21"/>
      <c r="OBI21"/>
      <c r="OBJ21"/>
      <c r="OBK21"/>
      <c r="OBL21"/>
      <c r="OBM21"/>
      <c r="OBN21"/>
      <c r="OBO21"/>
      <c r="OBP21"/>
      <c r="OBQ21"/>
      <c r="OBR21"/>
      <c r="OBS21"/>
      <c r="OBT21"/>
      <c r="OBU21"/>
      <c r="OBV21"/>
      <c r="OBW21"/>
      <c r="OBX21"/>
      <c r="OBY21"/>
      <c r="OBZ21"/>
      <c r="OCA21"/>
      <c r="OCB21"/>
      <c r="OCC21"/>
      <c r="OCD21"/>
      <c r="OCE21"/>
      <c r="OCF21"/>
      <c r="OCG21"/>
      <c r="OCH21"/>
      <c r="OCI21"/>
      <c r="OCJ21"/>
      <c r="OCK21"/>
      <c r="OCL21"/>
      <c r="OCM21"/>
      <c r="OCN21"/>
      <c r="OCO21"/>
      <c r="OCP21"/>
      <c r="OCQ21"/>
      <c r="OCR21"/>
      <c r="OCS21"/>
      <c r="OCT21"/>
      <c r="OCU21"/>
      <c r="OCV21"/>
      <c r="OCW21"/>
      <c r="OCX21"/>
      <c r="OCY21"/>
      <c r="OCZ21"/>
      <c r="ODA21"/>
      <c r="ODB21"/>
      <c r="ODC21"/>
      <c r="ODD21"/>
      <c r="ODE21"/>
      <c r="ODF21"/>
      <c r="ODG21"/>
      <c r="ODH21"/>
      <c r="ODI21"/>
      <c r="ODJ21"/>
      <c r="ODK21"/>
      <c r="ODL21"/>
      <c r="ODM21"/>
      <c r="ODN21"/>
      <c r="ODO21"/>
      <c r="ODP21"/>
      <c r="ODQ21"/>
      <c r="ODR21"/>
      <c r="ODS21"/>
      <c r="ODT21"/>
      <c r="ODU21"/>
      <c r="ODV21"/>
      <c r="ODW21"/>
      <c r="ODX21"/>
      <c r="ODY21"/>
      <c r="ODZ21"/>
      <c r="OEA21"/>
      <c r="OEB21"/>
      <c r="OEC21"/>
      <c r="OED21"/>
      <c r="OEE21"/>
      <c r="OEF21"/>
      <c r="OEG21"/>
      <c r="OEH21"/>
      <c r="OEI21"/>
      <c r="OEJ21"/>
      <c r="OEK21"/>
      <c r="OEL21"/>
      <c r="OEM21"/>
      <c r="OEN21"/>
      <c r="OEO21"/>
      <c r="OEP21"/>
      <c r="OEQ21"/>
      <c r="OER21"/>
      <c r="OES21"/>
      <c r="OET21"/>
      <c r="OEU21"/>
      <c r="OEV21"/>
      <c r="OEW21"/>
      <c r="OEX21"/>
      <c r="OEY21"/>
      <c r="OEZ21"/>
      <c r="OFA21"/>
      <c r="OFB21"/>
      <c r="OFC21"/>
      <c r="OFD21"/>
      <c r="OFE21"/>
      <c r="OFF21"/>
      <c r="OFG21"/>
      <c r="OFH21"/>
      <c r="OFI21"/>
      <c r="OFJ21"/>
      <c r="OFK21"/>
      <c r="OFL21"/>
      <c r="OFM21"/>
      <c r="OFN21"/>
      <c r="OFO21"/>
      <c r="OFP21"/>
      <c r="OFQ21"/>
      <c r="OFR21"/>
      <c r="OFS21"/>
      <c r="OFT21"/>
      <c r="OFU21"/>
      <c r="OFV21"/>
      <c r="OFW21"/>
      <c r="OFX21"/>
      <c r="OFY21"/>
      <c r="OFZ21"/>
      <c r="OGA21"/>
      <c r="OGB21"/>
      <c r="OGC21"/>
      <c r="OGD21"/>
      <c r="OGE21"/>
      <c r="OGF21"/>
      <c r="OGG21"/>
      <c r="OGH21"/>
      <c r="OGI21"/>
      <c r="OGJ21"/>
      <c r="OGK21"/>
      <c r="OGL21"/>
      <c r="OGM21"/>
      <c r="OGN21"/>
      <c r="OGO21"/>
      <c r="OGP21"/>
      <c r="OGQ21"/>
      <c r="OGR21"/>
      <c r="OGS21"/>
      <c r="OGT21"/>
      <c r="OGU21"/>
      <c r="OGV21"/>
      <c r="OGW21"/>
      <c r="OGX21"/>
      <c r="OGY21"/>
      <c r="OGZ21"/>
      <c r="OHA21"/>
      <c r="OHB21"/>
      <c r="OHC21"/>
      <c r="OHD21"/>
      <c r="OHE21"/>
      <c r="OHF21"/>
      <c r="OHG21"/>
      <c r="OHH21"/>
      <c r="OHI21"/>
      <c r="OHJ21"/>
      <c r="OHK21"/>
      <c r="OHL21"/>
      <c r="OHM21"/>
      <c r="OHN21"/>
      <c r="OHO21"/>
      <c r="OHP21"/>
      <c r="OHQ21"/>
      <c r="OHR21"/>
      <c r="OHS21"/>
      <c r="OHT21"/>
      <c r="OHU21"/>
      <c r="OHV21"/>
      <c r="OHW21"/>
      <c r="OHX21"/>
      <c r="OHY21"/>
      <c r="OHZ21"/>
      <c r="OIA21"/>
      <c r="OIB21"/>
      <c r="OIC21"/>
      <c r="OID21"/>
      <c r="OIE21"/>
      <c r="OIF21"/>
      <c r="OIG21"/>
      <c r="OIH21"/>
      <c r="OII21"/>
      <c r="OIJ21"/>
      <c r="OIK21"/>
      <c r="OIL21"/>
      <c r="OIM21"/>
      <c r="OIN21"/>
      <c r="OIO21"/>
      <c r="OIP21"/>
      <c r="OIQ21"/>
      <c r="OIR21"/>
      <c r="OIS21"/>
      <c r="OIT21"/>
      <c r="OIU21"/>
      <c r="OIV21"/>
      <c r="OIW21"/>
      <c r="OIX21"/>
      <c r="OIY21"/>
      <c r="OIZ21"/>
      <c r="OJA21"/>
      <c r="OJB21"/>
      <c r="OJC21"/>
      <c r="OJD21"/>
      <c r="OJE21"/>
      <c r="OJF21"/>
      <c r="OJG21"/>
      <c r="OJH21"/>
      <c r="OJI21"/>
      <c r="OJJ21"/>
      <c r="OJK21"/>
      <c r="OJL21"/>
      <c r="OJM21"/>
      <c r="OJN21"/>
      <c r="OJO21"/>
      <c r="OJP21"/>
      <c r="OJQ21"/>
      <c r="OJR21"/>
      <c r="OJS21"/>
      <c r="OJT21"/>
      <c r="OJU21"/>
      <c r="OJV21"/>
      <c r="OJW21"/>
      <c r="OJX21"/>
      <c r="OJY21"/>
      <c r="OJZ21"/>
      <c r="OKA21"/>
      <c r="OKB21"/>
      <c r="OKC21"/>
      <c r="OKD21"/>
      <c r="OKE21"/>
      <c r="OKF21"/>
      <c r="OKG21"/>
      <c r="OKH21"/>
      <c r="OKI21"/>
      <c r="OKJ21"/>
      <c r="OKK21"/>
      <c r="OKL21"/>
      <c r="OKM21"/>
      <c r="OKN21"/>
      <c r="OKO21"/>
      <c r="OKP21"/>
      <c r="OKQ21"/>
      <c r="OKR21"/>
      <c r="OKS21"/>
      <c r="OKT21"/>
      <c r="OKU21"/>
      <c r="OKV21"/>
      <c r="OKW21"/>
      <c r="OKX21"/>
      <c r="OKY21"/>
      <c r="OKZ21"/>
      <c r="OLA21"/>
      <c r="OLB21"/>
      <c r="OLC21"/>
      <c r="OLD21"/>
      <c r="OLE21"/>
      <c r="OLF21"/>
      <c r="OLG21"/>
      <c r="OLH21"/>
      <c r="OLI21"/>
      <c r="OLJ21"/>
      <c r="OLK21"/>
      <c r="OLL21"/>
      <c r="OLM21"/>
      <c r="OLN21"/>
      <c r="OLO21"/>
      <c r="OLP21"/>
      <c r="OLQ21"/>
      <c r="OLR21"/>
      <c r="OLS21"/>
      <c r="OLT21"/>
      <c r="OLU21"/>
      <c r="OLV21"/>
      <c r="OLW21"/>
      <c r="OLX21"/>
      <c r="OLY21"/>
      <c r="OLZ21"/>
      <c r="OMA21"/>
      <c r="OMB21"/>
      <c r="OMC21"/>
      <c r="OMD21"/>
      <c r="OME21"/>
      <c r="OMF21"/>
      <c r="OMG21"/>
      <c r="OMH21"/>
      <c r="OMI21"/>
      <c r="OMJ21"/>
      <c r="OMK21"/>
      <c r="OML21"/>
      <c r="OMM21"/>
      <c r="OMN21"/>
      <c r="OMO21"/>
      <c r="OMP21"/>
      <c r="OMQ21"/>
      <c r="OMR21"/>
      <c r="OMS21"/>
      <c r="OMT21"/>
      <c r="OMU21"/>
      <c r="OMV21"/>
      <c r="OMW21"/>
      <c r="OMX21"/>
      <c r="OMY21"/>
      <c r="OMZ21"/>
      <c r="ONA21"/>
      <c r="ONB21"/>
      <c r="ONC21"/>
      <c r="OND21"/>
      <c r="ONE21"/>
      <c r="ONF21"/>
      <c r="ONG21"/>
      <c r="ONH21"/>
      <c r="ONI21"/>
      <c r="ONJ21"/>
      <c r="ONK21"/>
      <c r="ONL21"/>
      <c r="ONM21"/>
      <c r="ONN21"/>
      <c r="ONO21"/>
      <c r="ONP21"/>
      <c r="ONQ21"/>
      <c r="ONR21"/>
      <c r="ONS21"/>
      <c r="ONT21"/>
      <c r="ONU21"/>
      <c r="ONV21"/>
      <c r="ONW21"/>
      <c r="ONX21"/>
      <c r="ONY21"/>
      <c r="ONZ21"/>
      <c r="OOA21"/>
      <c r="OOB21"/>
      <c r="OOC21"/>
      <c r="OOD21"/>
      <c r="OOE21"/>
      <c r="OOF21"/>
      <c r="OOG21"/>
      <c r="OOH21"/>
      <c r="OOI21"/>
      <c r="OOJ21"/>
      <c r="OOK21"/>
      <c r="OOL21"/>
      <c r="OOM21"/>
      <c r="OON21"/>
      <c r="OOO21"/>
      <c r="OOP21"/>
      <c r="OOQ21"/>
      <c r="OOR21"/>
      <c r="OOS21"/>
      <c r="OOT21"/>
      <c r="OOU21"/>
      <c r="OOV21"/>
      <c r="OOW21"/>
      <c r="OOX21"/>
      <c r="OOY21"/>
      <c r="OOZ21"/>
      <c r="OPA21"/>
      <c r="OPB21"/>
      <c r="OPC21"/>
      <c r="OPD21"/>
      <c r="OPE21"/>
      <c r="OPF21"/>
      <c r="OPG21"/>
      <c r="OPH21"/>
      <c r="OPI21"/>
      <c r="OPJ21"/>
      <c r="OPK21"/>
      <c r="OPL21"/>
      <c r="OPM21"/>
      <c r="OPN21"/>
      <c r="OPO21"/>
      <c r="OPP21"/>
      <c r="OPQ21"/>
      <c r="OPR21"/>
      <c r="OPS21"/>
      <c r="OPT21"/>
      <c r="OPU21"/>
      <c r="OPV21"/>
      <c r="OPW21"/>
      <c r="OPX21"/>
      <c r="OPY21"/>
      <c r="OPZ21"/>
      <c r="OQA21"/>
      <c r="OQB21"/>
      <c r="OQC21"/>
      <c r="OQD21"/>
      <c r="OQE21"/>
      <c r="OQF21"/>
      <c r="OQG21"/>
      <c r="OQH21"/>
      <c r="OQI21"/>
      <c r="OQJ21"/>
      <c r="OQK21"/>
      <c r="OQL21"/>
      <c r="OQM21"/>
      <c r="OQN21"/>
      <c r="OQO21"/>
      <c r="OQP21"/>
      <c r="OQQ21"/>
      <c r="OQR21"/>
      <c r="OQS21"/>
      <c r="OQT21"/>
      <c r="OQU21"/>
      <c r="OQV21"/>
      <c r="OQW21"/>
      <c r="OQX21"/>
      <c r="OQY21"/>
      <c r="OQZ21"/>
      <c r="ORA21"/>
      <c r="ORB21"/>
      <c r="ORC21"/>
      <c r="ORD21"/>
      <c r="ORE21"/>
      <c r="ORF21"/>
      <c r="ORG21"/>
      <c r="ORH21"/>
      <c r="ORI21"/>
      <c r="ORJ21"/>
      <c r="ORK21"/>
      <c r="ORL21"/>
      <c r="ORM21"/>
      <c r="ORN21"/>
      <c r="ORO21"/>
      <c r="ORP21"/>
      <c r="ORQ21"/>
      <c r="ORR21"/>
      <c r="ORS21"/>
      <c r="ORT21"/>
      <c r="ORU21"/>
      <c r="ORV21"/>
      <c r="ORW21"/>
      <c r="ORX21"/>
      <c r="ORY21"/>
      <c r="ORZ21"/>
      <c r="OSA21"/>
      <c r="OSB21"/>
      <c r="OSC21"/>
      <c r="OSD21"/>
      <c r="OSE21"/>
      <c r="OSF21"/>
      <c r="OSG21"/>
      <c r="OSH21"/>
      <c r="OSI21"/>
      <c r="OSJ21"/>
      <c r="OSK21"/>
      <c r="OSL21"/>
      <c r="OSM21"/>
      <c r="OSN21"/>
      <c r="OSO21"/>
      <c r="OSP21"/>
      <c r="OSQ21"/>
      <c r="OSR21"/>
      <c r="OSS21"/>
      <c r="OST21"/>
      <c r="OSU21"/>
      <c r="OSV21"/>
      <c r="OSW21"/>
      <c r="OSX21"/>
      <c r="OSY21"/>
      <c r="OSZ21"/>
      <c r="OTA21"/>
      <c r="OTB21"/>
      <c r="OTC21"/>
      <c r="OTD21"/>
      <c r="OTE21"/>
      <c r="OTF21"/>
      <c r="OTG21"/>
      <c r="OTH21"/>
      <c r="OTI21"/>
      <c r="OTJ21"/>
      <c r="OTK21"/>
      <c r="OTL21"/>
      <c r="OTM21"/>
      <c r="OTN21"/>
      <c r="OTO21"/>
      <c r="OTP21"/>
      <c r="OTQ21"/>
      <c r="OTR21"/>
      <c r="OTS21"/>
      <c r="OTT21"/>
      <c r="OTU21"/>
      <c r="OTV21"/>
      <c r="OTW21"/>
      <c r="OTX21"/>
      <c r="OTY21"/>
      <c r="OTZ21"/>
      <c r="OUA21"/>
      <c r="OUB21"/>
      <c r="OUC21"/>
      <c r="OUD21"/>
      <c r="OUE21"/>
      <c r="OUF21"/>
      <c r="OUG21"/>
      <c r="OUH21"/>
      <c r="OUI21"/>
      <c r="OUJ21"/>
      <c r="OUK21"/>
      <c r="OUL21"/>
      <c r="OUM21"/>
      <c r="OUN21"/>
      <c r="OUO21"/>
      <c r="OUP21"/>
      <c r="OUQ21"/>
      <c r="OUR21"/>
      <c r="OUS21"/>
      <c r="OUT21"/>
      <c r="OUU21"/>
      <c r="OUV21"/>
      <c r="OUW21"/>
      <c r="OUX21"/>
      <c r="OUY21"/>
      <c r="OUZ21"/>
      <c r="OVA21"/>
      <c r="OVB21"/>
      <c r="OVC21"/>
      <c r="OVD21"/>
      <c r="OVE21"/>
      <c r="OVF21"/>
      <c r="OVG21"/>
      <c r="OVH21"/>
      <c r="OVI21"/>
      <c r="OVJ21"/>
      <c r="OVK21"/>
      <c r="OVL21"/>
      <c r="OVM21"/>
      <c r="OVN21"/>
      <c r="OVO21"/>
      <c r="OVP21"/>
      <c r="OVQ21"/>
      <c r="OVR21"/>
      <c r="OVS21"/>
      <c r="OVT21"/>
      <c r="OVU21"/>
      <c r="OVV21"/>
      <c r="OVW21"/>
      <c r="OVX21"/>
      <c r="OVY21"/>
      <c r="OVZ21"/>
      <c r="OWA21"/>
      <c r="OWB21"/>
      <c r="OWC21"/>
      <c r="OWD21"/>
      <c r="OWE21"/>
      <c r="OWF21"/>
      <c r="OWG21"/>
      <c r="OWH21"/>
      <c r="OWI21"/>
      <c r="OWJ21"/>
      <c r="OWK21"/>
      <c r="OWL21"/>
      <c r="OWM21"/>
      <c r="OWN21"/>
      <c r="OWO21"/>
      <c r="OWP21"/>
      <c r="OWQ21"/>
      <c r="OWR21"/>
      <c r="OWS21"/>
      <c r="OWT21"/>
      <c r="OWU21"/>
      <c r="OWV21"/>
      <c r="OWW21"/>
      <c r="OWX21"/>
      <c r="OWY21"/>
      <c r="OWZ21"/>
      <c r="OXA21"/>
      <c r="OXB21"/>
      <c r="OXC21"/>
      <c r="OXD21"/>
      <c r="OXE21"/>
      <c r="OXF21"/>
      <c r="OXG21"/>
      <c r="OXH21"/>
      <c r="OXI21"/>
      <c r="OXJ21"/>
      <c r="OXK21"/>
      <c r="OXL21"/>
      <c r="OXM21"/>
      <c r="OXN21"/>
      <c r="OXO21"/>
      <c r="OXP21"/>
      <c r="OXQ21"/>
      <c r="OXR21"/>
      <c r="OXS21"/>
      <c r="OXT21"/>
      <c r="OXU21"/>
      <c r="OXV21"/>
      <c r="OXW21"/>
      <c r="OXX21"/>
      <c r="OXY21"/>
      <c r="OXZ21"/>
      <c r="OYA21"/>
      <c r="OYB21"/>
      <c r="OYC21"/>
      <c r="OYD21"/>
      <c r="OYE21"/>
      <c r="OYF21"/>
      <c r="OYG21"/>
      <c r="OYH21"/>
      <c r="OYI21"/>
      <c r="OYJ21"/>
      <c r="OYK21"/>
      <c r="OYL21"/>
      <c r="OYM21"/>
      <c r="OYN21"/>
      <c r="OYO21"/>
      <c r="OYP21"/>
      <c r="OYQ21"/>
      <c r="OYR21"/>
      <c r="OYS21"/>
      <c r="OYT21"/>
      <c r="OYU21"/>
      <c r="OYV21"/>
      <c r="OYW21"/>
      <c r="OYX21"/>
      <c r="OYY21"/>
      <c r="OYZ21"/>
      <c r="OZA21"/>
      <c r="OZB21"/>
      <c r="OZC21"/>
      <c r="OZD21"/>
      <c r="OZE21"/>
      <c r="OZF21"/>
      <c r="OZG21"/>
      <c r="OZH21"/>
      <c r="OZI21"/>
      <c r="OZJ21"/>
      <c r="OZK21"/>
      <c r="OZL21"/>
      <c r="OZM21"/>
      <c r="OZN21"/>
      <c r="OZO21"/>
      <c r="OZP21"/>
      <c r="OZQ21"/>
      <c r="OZR21"/>
      <c r="OZS21"/>
      <c r="OZT21"/>
      <c r="OZU21"/>
      <c r="OZV21"/>
      <c r="OZW21"/>
      <c r="OZX21"/>
      <c r="OZY21"/>
      <c r="OZZ21"/>
      <c r="PAA21"/>
      <c r="PAB21"/>
      <c r="PAC21"/>
      <c r="PAD21"/>
      <c r="PAE21"/>
      <c r="PAF21"/>
      <c r="PAG21"/>
      <c r="PAH21"/>
      <c r="PAI21"/>
      <c r="PAJ21"/>
      <c r="PAK21"/>
      <c r="PAL21"/>
      <c r="PAM21"/>
      <c r="PAN21"/>
      <c r="PAO21"/>
      <c r="PAP21"/>
      <c r="PAQ21"/>
      <c r="PAR21"/>
      <c r="PAS21"/>
      <c r="PAT21"/>
      <c r="PAU21"/>
      <c r="PAV21"/>
      <c r="PAW21"/>
      <c r="PAX21"/>
      <c r="PAY21"/>
      <c r="PAZ21"/>
      <c r="PBA21"/>
      <c r="PBB21"/>
      <c r="PBC21"/>
      <c r="PBD21"/>
      <c r="PBE21"/>
      <c r="PBF21"/>
      <c r="PBG21"/>
      <c r="PBH21"/>
      <c r="PBI21"/>
      <c r="PBJ21"/>
      <c r="PBK21"/>
      <c r="PBL21"/>
      <c r="PBM21"/>
      <c r="PBN21"/>
      <c r="PBO21"/>
      <c r="PBP21"/>
      <c r="PBQ21"/>
      <c r="PBR21"/>
      <c r="PBS21"/>
      <c r="PBT21"/>
      <c r="PBU21"/>
      <c r="PBV21"/>
      <c r="PBW21"/>
      <c r="PBX21"/>
      <c r="PBY21"/>
      <c r="PBZ21"/>
      <c r="PCA21"/>
      <c r="PCB21"/>
      <c r="PCC21"/>
      <c r="PCD21"/>
      <c r="PCE21"/>
      <c r="PCF21"/>
      <c r="PCG21"/>
      <c r="PCH21"/>
      <c r="PCI21"/>
      <c r="PCJ21"/>
      <c r="PCK21"/>
      <c r="PCL21"/>
      <c r="PCM21"/>
      <c r="PCN21"/>
      <c r="PCO21"/>
      <c r="PCP21"/>
      <c r="PCQ21"/>
      <c r="PCR21"/>
      <c r="PCS21"/>
      <c r="PCT21"/>
      <c r="PCU21"/>
      <c r="PCV21"/>
      <c r="PCW21"/>
      <c r="PCX21"/>
      <c r="PCY21"/>
      <c r="PCZ21"/>
      <c r="PDA21"/>
      <c r="PDB21"/>
      <c r="PDC21"/>
      <c r="PDD21"/>
      <c r="PDE21"/>
      <c r="PDF21"/>
      <c r="PDG21"/>
      <c r="PDH21"/>
      <c r="PDI21"/>
      <c r="PDJ21"/>
      <c r="PDK21"/>
      <c r="PDL21"/>
      <c r="PDM21"/>
      <c r="PDN21"/>
      <c r="PDO21"/>
      <c r="PDP21"/>
      <c r="PDQ21"/>
      <c r="PDR21"/>
      <c r="PDS21"/>
      <c r="PDT21"/>
      <c r="PDU21"/>
      <c r="PDV21"/>
      <c r="PDW21"/>
      <c r="PDX21"/>
      <c r="PDY21"/>
      <c r="PDZ21"/>
      <c r="PEA21"/>
      <c r="PEB21"/>
      <c r="PEC21"/>
      <c r="PED21"/>
      <c r="PEE21"/>
      <c r="PEF21"/>
      <c r="PEG21"/>
      <c r="PEH21"/>
      <c r="PEI21"/>
      <c r="PEJ21"/>
      <c r="PEK21"/>
      <c r="PEL21"/>
      <c r="PEM21"/>
      <c r="PEN21"/>
      <c r="PEO21"/>
      <c r="PEP21"/>
      <c r="PEQ21"/>
      <c r="PER21"/>
      <c r="PES21"/>
      <c r="PET21"/>
      <c r="PEU21"/>
      <c r="PEV21"/>
      <c r="PEW21"/>
      <c r="PEX21"/>
      <c r="PEY21"/>
      <c r="PEZ21"/>
      <c r="PFA21"/>
      <c r="PFB21"/>
      <c r="PFC21"/>
      <c r="PFD21"/>
      <c r="PFE21"/>
      <c r="PFF21"/>
      <c r="PFG21"/>
      <c r="PFH21"/>
      <c r="PFI21"/>
      <c r="PFJ21"/>
      <c r="PFK21"/>
      <c r="PFL21"/>
      <c r="PFM21"/>
      <c r="PFN21"/>
      <c r="PFO21"/>
      <c r="PFP21"/>
      <c r="PFQ21"/>
      <c r="PFR21"/>
      <c r="PFS21"/>
      <c r="PFT21"/>
      <c r="PFU21"/>
      <c r="PFV21"/>
      <c r="PFW21"/>
      <c r="PFX21"/>
      <c r="PFY21"/>
      <c r="PFZ21"/>
      <c r="PGA21"/>
      <c r="PGB21"/>
      <c r="PGC21"/>
      <c r="PGD21"/>
      <c r="PGE21"/>
      <c r="PGF21"/>
      <c r="PGG21"/>
      <c r="PGH21"/>
      <c r="PGI21"/>
      <c r="PGJ21"/>
      <c r="PGK21"/>
      <c r="PGL21"/>
      <c r="PGM21"/>
      <c r="PGN21"/>
      <c r="PGO21"/>
      <c r="PGP21"/>
      <c r="PGQ21"/>
      <c r="PGR21"/>
      <c r="PGS21"/>
      <c r="PGT21"/>
      <c r="PGU21"/>
      <c r="PGV21"/>
      <c r="PGW21"/>
      <c r="PGX21"/>
      <c r="PGY21"/>
      <c r="PGZ21"/>
      <c r="PHA21"/>
      <c r="PHB21"/>
      <c r="PHC21"/>
      <c r="PHD21"/>
      <c r="PHE21"/>
      <c r="PHF21"/>
      <c r="PHG21"/>
      <c r="PHH21"/>
      <c r="PHI21"/>
      <c r="PHJ21"/>
      <c r="PHK21"/>
      <c r="PHL21"/>
      <c r="PHM21"/>
      <c r="PHN21"/>
      <c r="PHO21"/>
      <c r="PHP21"/>
      <c r="PHQ21"/>
      <c r="PHR21"/>
      <c r="PHS21"/>
      <c r="PHT21"/>
      <c r="PHU21"/>
      <c r="PHV21"/>
      <c r="PHW21"/>
      <c r="PHX21"/>
      <c r="PHY21"/>
      <c r="PHZ21"/>
      <c r="PIA21"/>
      <c r="PIB21"/>
      <c r="PIC21"/>
      <c r="PID21"/>
      <c r="PIE21"/>
      <c r="PIF21"/>
      <c r="PIG21"/>
      <c r="PIH21"/>
      <c r="PII21"/>
      <c r="PIJ21"/>
      <c r="PIK21"/>
      <c r="PIL21"/>
      <c r="PIM21"/>
      <c r="PIN21"/>
      <c r="PIO21"/>
      <c r="PIP21"/>
      <c r="PIQ21"/>
      <c r="PIR21"/>
      <c r="PIS21"/>
      <c r="PIT21"/>
      <c r="PIU21"/>
      <c r="PIV21"/>
      <c r="PIW21"/>
      <c r="PIX21"/>
      <c r="PIY21"/>
      <c r="PIZ21"/>
      <c r="PJA21"/>
      <c r="PJB21"/>
      <c r="PJC21"/>
      <c r="PJD21"/>
      <c r="PJE21"/>
      <c r="PJF21"/>
      <c r="PJG21"/>
      <c r="PJH21"/>
      <c r="PJI21"/>
      <c r="PJJ21"/>
      <c r="PJK21"/>
      <c r="PJL21"/>
      <c r="PJM21"/>
      <c r="PJN21"/>
      <c r="PJO21"/>
      <c r="PJP21"/>
      <c r="PJQ21"/>
      <c r="PJR21"/>
      <c r="PJS21"/>
      <c r="PJT21"/>
      <c r="PJU21"/>
      <c r="PJV21"/>
      <c r="PJW21"/>
      <c r="PJX21"/>
      <c r="PJY21"/>
      <c r="PJZ21"/>
      <c r="PKA21"/>
      <c r="PKB21"/>
      <c r="PKC21"/>
      <c r="PKD21"/>
      <c r="PKE21"/>
      <c r="PKF21"/>
      <c r="PKG21"/>
      <c r="PKH21"/>
      <c r="PKI21"/>
      <c r="PKJ21"/>
      <c r="PKK21"/>
      <c r="PKL21"/>
      <c r="PKM21"/>
      <c r="PKN21"/>
      <c r="PKO21"/>
      <c r="PKP21"/>
      <c r="PKQ21"/>
      <c r="PKR21"/>
      <c r="PKS21"/>
      <c r="PKT21"/>
      <c r="PKU21"/>
      <c r="PKV21"/>
      <c r="PKW21"/>
      <c r="PKX21"/>
      <c r="PKY21"/>
      <c r="PKZ21"/>
      <c r="PLA21"/>
      <c r="PLB21"/>
      <c r="PLC21"/>
      <c r="PLD21"/>
      <c r="PLE21"/>
      <c r="PLF21"/>
      <c r="PLG21"/>
      <c r="PLH21"/>
      <c r="PLI21"/>
      <c r="PLJ21"/>
      <c r="PLK21"/>
      <c r="PLL21"/>
      <c r="PLM21"/>
      <c r="PLN21"/>
      <c r="PLO21"/>
      <c r="PLP21"/>
      <c r="PLQ21"/>
      <c r="PLR21"/>
      <c r="PLS21"/>
      <c r="PLT21"/>
      <c r="PLU21"/>
      <c r="PLV21"/>
      <c r="PLW21"/>
      <c r="PLX21"/>
      <c r="PLY21"/>
      <c r="PLZ21"/>
      <c r="PMA21"/>
      <c r="PMB21"/>
      <c r="PMC21"/>
      <c r="PMD21"/>
      <c r="PME21"/>
      <c r="PMF21"/>
      <c r="PMG21"/>
      <c r="PMH21"/>
      <c r="PMI21"/>
      <c r="PMJ21"/>
      <c r="PMK21"/>
      <c r="PML21"/>
      <c r="PMM21"/>
      <c r="PMN21"/>
      <c r="PMO21"/>
      <c r="PMP21"/>
      <c r="PMQ21"/>
      <c r="PMR21"/>
      <c r="PMS21"/>
      <c r="PMT21"/>
      <c r="PMU21"/>
      <c r="PMV21"/>
      <c r="PMW21"/>
      <c r="PMX21"/>
      <c r="PMY21"/>
      <c r="PMZ21"/>
      <c r="PNA21"/>
      <c r="PNB21"/>
      <c r="PNC21"/>
      <c r="PND21"/>
      <c r="PNE21"/>
      <c r="PNF21"/>
      <c r="PNG21"/>
      <c r="PNH21"/>
      <c r="PNI21"/>
      <c r="PNJ21"/>
      <c r="PNK21"/>
      <c r="PNL21"/>
      <c r="PNM21"/>
      <c r="PNN21"/>
      <c r="PNO21"/>
      <c r="PNP21"/>
      <c r="PNQ21"/>
      <c r="PNR21"/>
      <c r="PNS21"/>
      <c r="PNT21"/>
      <c r="PNU21"/>
      <c r="PNV21"/>
      <c r="PNW21"/>
      <c r="PNX21"/>
      <c r="PNY21"/>
      <c r="PNZ21"/>
      <c r="POA21"/>
      <c r="POB21"/>
      <c r="POC21"/>
      <c r="POD21"/>
      <c r="POE21"/>
      <c r="POF21"/>
      <c r="POG21"/>
      <c r="POH21"/>
      <c r="POI21"/>
      <c r="POJ21"/>
      <c r="POK21"/>
      <c r="POL21"/>
      <c r="POM21"/>
      <c r="PON21"/>
      <c r="POO21"/>
      <c r="POP21"/>
      <c r="POQ21"/>
      <c r="POR21"/>
      <c r="POS21"/>
      <c r="POT21"/>
      <c r="POU21"/>
      <c r="POV21"/>
      <c r="POW21"/>
      <c r="POX21"/>
      <c r="POY21"/>
      <c r="POZ21"/>
      <c r="PPA21"/>
      <c r="PPB21"/>
      <c r="PPC21"/>
      <c r="PPD21"/>
      <c r="PPE21"/>
      <c r="PPF21"/>
      <c r="PPG21"/>
      <c r="PPH21"/>
      <c r="PPI21"/>
      <c r="PPJ21"/>
      <c r="PPK21"/>
      <c r="PPL21"/>
      <c r="PPM21"/>
      <c r="PPN21"/>
      <c r="PPO21"/>
      <c r="PPP21"/>
      <c r="PPQ21"/>
      <c r="PPR21"/>
      <c r="PPS21"/>
      <c r="PPT21"/>
      <c r="PPU21"/>
      <c r="PPV21"/>
      <c r="PPW21"/>
      <c r="PPX21"/>
      <c r="PPY21"/>
      <c r="PPZ21"/>
      <c r="PQA21"/>
      <c r="PQB21"/>
      <c r="PQC21"/>
      <c r="PQD21"/>
      <c r="PQE21"/>
      <c r="PQF21"/>
      <c r="PQG21"/>
      <c r="PQH21"/>
      <c r="PQI21"/>
      <c r="PQJ21"/>
      <c r="PQK21"/>
      <c r="PQL21"/>
      <c r="PQM21"/>
      <c r="PQN21"/>
      <c r="PQO21"/>
      <c r="PQP21"/>
      <c r="PQQ21"/>
      <c r="PQR21"/>
      <c r="PQS21"/>
      <c r="PQT21"/>
      <c r="PQU21"/>
      <c r="PQV21"/>
      <c r="PQW21"/>
      <c r="PQX21"/>
      <c r="PQY21"/>
      <c r="PQZ21"/>
      <c r="PRA21"/>
      <c r="PRB21"/>
      <c r="PRC21"/>
      <c r="PRD21"/>
      <c r="PRE21"/>
      <c r="PRF21"/>
      <c r="PRG21"/>
      <c r="PRH21"/>
      <c r="PRI21"/>
      <c r="PRJ21"/>
      <c r="PRK21"/>
      <c r="PRL21"/>
      <c r="PRM21"/>
      <c r="PRN21"/>
      <c r="PRO21"/>
      <c r="PRP21"/>
      <c r="PRQ21"/>
      <c r="PRR21"/>
      <c r="PRS21"/>
      <c r="PRT21"/>
      <c r="PRU21"/>
      <c r="PRV21"/>
      <c r="PRW21"/>
      <c r="PRX21"/>
      <c r="PRY21"/>
      <c r="PRZ21"/>
      <c r="PSA21"/>
      <c r="PSB21"/>
      <c r="PSC21"/>
      <c r="PSD21"/>
      <c r="PSE21"/>
      <c r="PSF21"/>
      <c r="PSG21"/>
      <c r="PSH21"/>
      <c r="PSI21"/>
      <c r="PSJ21"/>
      <c r="PSK21"/>
      <c r="PSL21"/>
      <c r="PSM21"/>
      <c r="PSN21"/>
      <c r="PSO21"/>
      <c r="PSP21"/>
      <c r="PSQ21"/>
      <c r="PSR21"/>
      <c r="PSS21"/>
      <c r="PST21"/>
      <c r="PSU21"/>
      <c r="PSV21"/>
      <c r="PSW21"/>
      <c r="PSX21"/>
      <c r="PSY21"/>
      <c r="PSZ21"/>
      <c r="PTA21"/>
      <c r="PTB21"/>
      <c r="PTC21"/>
      <c r="PTD21"/>
      <c r="PTE21"/>
      <c r="PTF21"/>
      <c r="PTG21"/>
      <c r="PTH21"/>
      <c r="PTI21"/>
      <c r="PTJ21"/>
      <c r="PTK21"/>
      <c r="PTL21"/>
      <c r="PTM21"/>
      <c r="PTN21"/>
      <c r="PTO21"/>
      <c r="PTP21"/>
      <c r="PTQ21"/>
      <c r="PTR21"/>
      <c r="PTS21"/>
      <c r="PTT21"/>
      <c r="PTU21"/>
      <c r="PTV21"/>
      <c r="PTW21"/>
      <c r="PTX21"/>
      <c r="PTY21"/>
      <c r="PTZ21"/>
      <c r="PUA21"/>
      <c r="PUB21"/>
      <c r="PUC21"/>
      <c r="PUD21"/>
      <c r="PUE21"/>
      <c r="PUF21"/>
      <c r="PUG21"/>
      <c r="PUH21"/>
      <c r="PUI21"/>
      <c r="PUJ21"/>
      <c r="PUK21"/>
      <c r="PUL21"/>
      <c r="PUM21"/>
      <c r="PUN21"/>
      <c r="PUO21"/>
      <c r="PUP21"/>
      <c r="PUQ21"/>
      <c r="PUR21"/>
      <c r="PUS21"/>
      <c r="PUT21"/>
      <c r="PUU21"/>
      <c r="PUV21"/>
      <c r="PUW21"/>
      <c r="PUX21"/>
      <c r="PUY21"/>
      <c r="PUZ21"/>
      <c r="PVA21"/>
      <c r="PVB21"/>
      <c r="PVC21"/>
      <c r="PVD21"/>
      <c r="PVE21"/>
      <c r="PVF21"/>
      <c r="PVG21"/>
      <c r="PVH21"/>
      <c r="PVI21"/>
      <c r="PVJ21"/>
      <c r="PVK21"/>
      <c r="PVL21"/>
      <c r="PVM21"/>
      <c r="PVN21"/>
      <c r="PVO21"/>
      <c r="PVP21"/>
      <c r="PVQ21"/>
      <c r="PVR21"/>
      <c r="PVS21"/>
      <c r="PVT21"/>
      <c r="PVU21"/>
      <c r="PVV21"/>
      <c r="PVW21"/>
      <c r="PVX21"/>
      <c r="PVY21"/>
      <c r="PVZ21"/>
      <c r="PWA21"/>
      <c r="PWB21"/>
      <c r="PWC21"/>
      <c r="PWD21"/>
      <c r="PWE21"/>
      <c r="PWF21"/>
      <c r="PWG21"/>
      <c r="PWH21"/>
      <c r="PWI21"/>
      <c r="PWJ21"/>
      <c r="PWK21"/>
      <c r="PWL21"/>
      <c r="PWM21"/>
      <c r="PWN21"/>
      <c r="PWO21"/>
      <c r="PWP21"/>
      <c r="PWQ21"/>
      <c r="PWR21"/>
      <c r="PWS21"/>
      <c r="PWT21"/>
      <c r="PWU21"/>
      <c r="PWV21"/>
      <c r="PWW21"/>
      <c r="PWX21"/>
      <c r="PWY21"/>
      <c r="PWZ21"/>
      <c r="PXA21"/>
      <c r="PXB21"/>
      <c r="PXC21"/>
      <c r="PXD21"/>
      <c r="PXE21"/>
      <c r="PXF21"/>
      <c r="PXG21"/>
      <c r="PXH21"/>
      <c r="PXI21"/>
      <c r="PXJ21"/>
      <c r="PXK21"/>
      <c r="PXL21"/>
      <c r="PXM21"/>
      <c r="PXN21"/>
      <c r="PXO21"/>
      <c r="PXP21"/>
      <c r="PXQ21"/>
      <c r="PXR21"/>
      <c r="PXS21"/>
      <c r="PXT21"/>
      <c r="PXU21"/>
      <c r="PXV21"/>
      <c r="PXW21"/>
      <c r="PXX21"/>
      <c r="PXY21"/>
      <c r="PXZ21"/>
      <c r="PYA21"/>
      <c r="PYB21"/>
      <c r="PYC21"/>
      <c r="PYD21"/>
      <c r="PYE21"/>
      <c r="PYF21"/>
      <c r="PYG21"/>
      <c r="PYH21"/>
      <c r="PYI21"/>
      <c r="PYJ21"/>
      <c r="PYK21"/>
      <c r="PYL21"/>
      <c r="PYM21"/>
      <c r="PYN21"/>
      <c r="PYO21"/>
      <c r="PYP21"/>
      <c r="PYQ21"/>
      <c r="PYR21"/>
      <c r="PYS21"/>
      <c r="PYT21"/>
      <c r="PYU21"/>
      <c r="PYV21"/>
      <c r="PYW21"/>
      <c r="PYX21"/>
      <c r="PYY21"/>
      <c r="PYZ21"/>
      <c r="PZA21"/>
      <c r="PZB21"/>
      <c r="PZC21"/>
      <c r="PZD21"/>
      <c r="PZE21"/>
      <c r="PZF21"/>
      <c r="PZG21"/>
      <c r="PZH21"/>
      <c r="PZI21"/>
      <c r="PZJ21"/>
      <c r="PZK21"/>
      <c r="PZL21"/>
      <c r="PZM21"/>
      <c r="PZN21"/>
      <c r="PZO21"/>
      <c r="PZP21"/>
      <c r="PZQ21"/>
      <c r="PZR21"/>
      <c r="PZS21"/>
      <c r="PZT21"/>
      <c r="PZU21"/>
      <c r="PZV21"/>
      <c r="PZW21"/>
      <c r="PZX21"/>
      <c r="PZY21"/>
      <c r="PZZ21"/>
      <c r="QAA21"/>
      <c r="QAB21"/>
      <c r="QAC21"/>
      <c r="QAD21"/>
      <c r="QAE21"/>
      <c r="QAF21"/>
      <c r="QAG21"/>
      <c r="QAH21"/>
      <c r="QAI21"/>
      <c r="QAJ21"/>
      <c r="QAK21"/>
      <c r="QAL21"/>
      <c r="QAM21"/>
      <c r="QAN21"/>
      <c r="QAO21"/>
      <c r="QAP21"/>
      <c r="QAQ21"/>
      <c r="QAR21"/>
      <c r="QAS21"/>
      <c r="QAT21"/>
      <c r="QAU21"/>
      <c r="QAV21"/>
      <c r="QAW21"/>
      <c r="QAX21"/>
      <c r="QAY21"/>
      <c r="QAZ21"/>
      <c r="QBA21"/>
      <c r="QBB21"/>
      <c r="QBC21"/>
      <c r="QBD21"/>
      <c r="QBE21"/>
      <c r="QBF21"/>
      <c r="QBG21"/>
      <c r="QBH21"/>
      <c r="QBI21"/>
      <c r="QBJ21"/>
      <c r="QBK21"/>
      <c r="QBL21"/>
      <c r="QBM21"/>
      <c r="QBN21"/>
      <c r="QBO21"/>
      <c r="QBP21"/>
      <c r="QBQ21"/>
      <c r="QBR21"/>
      <c r="QBS21"/>
      <c r="QBT21"/>
      <c r="QBU21"/>
      <c r="QBV21"/>
      <c r="QBW21"/>
      <c r="QBX21"/>
      <c r="QBY21"/>
      <c r="QBZ21"/>
      <c r="QCA21"/>
      <c r="QCB21"/>
      <c r="QCC21"/>
      <c r="QCD21"/>
      <c r="QCE21"/>
      <c r="QCF21"/>
      <c r="QCG21"/>
      <c r="QCH21"/>
      <c r="QCI21"/>
      <c r="QCJ21"/>
      <c r="QCK21"/>
      <c r="QCL21"/>
      <c r="QCM21"/>
      <c r="QCN21"/>
      <c r="QCO21"/>
      <c r="QCP21"/>
      <c r="QCQ21"/>
      <c r="QCR21"/>
      <c r="QCS21"/>
      <c r="QCT21"/>
      <c r="QCU21"/>
      <c r="QCV21"/>
      <c r="QCW21"/>
      <c r="QCX21"/>
      <c r="QCY21"/>
      <c r="QCZ21"/>
      <c r="QDA21"/>
      <c r="QDB21"/>
      <c r="QDC21"/>
      <c r="QDD21"/>
      <c r="QDE21"/>
      <c r="QDF21"/>
      <c r="QDG21"/>
      <c r="QDH21"/>
      <c r="QDI21"/>
      <c r="QDJ21"/>
      <c r="QDK21"/>
      <c r="QDL21"/>
      <c r="QDM21"/>
      <c r="QDN21"/>
      <c r="QDO21"/>
      <c r="QDP21"/>
      <c r="QDQ21"/>
      <c r="QDR21"/>
      <c r="QDS21"/>
      <c r="QDT21"/>
      <c r="QDU21"/>
      <c r="QDV21"/>
      <c r="QDW21"/>
      <c r="QDX21"/>
      <c r="QDY21"/>
      <c r="QDZ21"/>
      <c r="QEA21"/>
      <c r="QEB21"/>
      <c r="QEC21"/>
      <c r="QED21"/>
      <c r="QEE21"/>
      <c r="QEF21"/>
      <c r="QEG21"/>
      <c r="QEH21"/>
      <c r="QEI21"/>
      <c r="QEJ21"/>
      <c r="QEK21"/>
      <c r="QEL21"/>
      <c r="QEM21"/>
      <c r="QEN21"/>
      <c r="QEO21"/>
      <c r="QEP21"/>
      <c r="QEQ21"/>
      <c r="QER21"/>
      <c r="QES21"/>
      <c r="QET21"/>
      <c r="QEU21"/>
      <c r="QEV21"/>
      <c r="QEW21"/>
      <c r="QEX21"/>
      <c r="QEY21"/>
      <c r="QEZ21"/>
      <c r="QFA21"/>
      <c r="QFB21"/>
      <c r="QFC21"/>
      <c r="QFD21"/>
      <c r="QFE21"/>
      <c r="QFF21"/>
      <c r="QFG21"/>
      <c r="QFH21"/>
      <c r="QFI21"/>
      <c r="QFJ21"/>
      <c r="QFK21"/>
      <c r="QFL21"/>
      <c r="QFM21"/>
      <c r="QFN21"/>
      <c r="QFO21"/>
      <c r="QFP21"/>
      <c r="QFQ21"/>
      <c r="QFR21"/>
      <c r="QFS21"/>
      <c r="QFT21"/>
      <c r="QFU21"/>
      <c r="QFV21"/>
      <c r="QFW21"/>
      <c r="QFX21"/>
      <c r="QFY21"/>
      <c r="QFZ21"/>
      <c r="QGA21"/>
      <c r="QGB21"/>
      <c r="QGC21"/>
      <c r="QGD21"/>
      <c r="QGE21"/>
      <c r="QGF21"/>
      <c r="QGG21"/>
      <c r="QGH21"/>
      <c r="QGI21"/>
      <c r="QGJ21"/>
      <c r="QGK21"/>
      <c r="QGL21"/>
      <c r="QGM21"/>
      <c r="QGN21"/>
      <c r="QGO21"/>
      <c r="QGP21"/>
      <c r="QGQ21"/>
      <c r="QGR21"/>
      <c r="QGS21"/>
      <c r="QGT21"/>
      <c r="QGU21"/>
      <c r="QGV21"/>
      <c r="QGW21"/>
      <c r="QGX21"/>
      <c r="QGY21"/>
      <c r="QGZ21"/>
      <c r="QHA21"/>
      <c r="QHB21"/>
      <c r="QHC21"/>
      <c r="QHD21"/>
      <c r="QHE21"/>
      <c r="QHF21"/>
      <c r="QHG21"/>
      <c r="QHH21"/>
      <c r="QHI21"/>
      <c r="QHJ21"/>
      <c r="QHK21"/>
      <c r="QHL21"/>
      <c r="QHM21"/>
      <c r="QHN21"/>
      <c r="QHO21"/>
      <c r="QHP21"/>
      <c r="QHQ21"/>
      <c r="QHR21"/>
      <c r="QHS21"/>
      <c r="QHT21"/>
      <c r="QHU21"/>
      <c r="QHV21"/>
      <c r="QHW21"/>
      <c r="QHX21"/>
      <c r="QHY21"/>
      <c r="QHZ21"/>
      <c r="QIA21"/>
      <c r="QIB21"/>
      <c r="QIC21"/>
      <c r="QID21"/>
      <c r="QIE21"/>
      <c r="QIF21"/>
      <c r="QIG21"/>
      <c r="QIH21"/>
      <c r="QII21"/>
      <c r="QIJ21"/>
      <c r="QIK21"/>
      <c r="QIL21"/>
      <c r="QIM21"/>
      <c r="QIN21"/>
      <c r="QIO21"/>
      <c r="QIP21"/>
      <c r="QIQ21"/>
      <c r="QIR21"/>
      <c r="QIS21"/>
      <c r="QIT21"/>
      <c r="QIU21"/>
      <c r="QIV21"/>
      <c r="QIW21"/>
      <c r="QIX21"/>
      <c r="QIY21"/>
      <c r="QIZ21"/>
      <c r="QJA21"/>
      <c r="QJB21"/>
      <c r="QJC21"/>
      <c r="QJD21"/>
      <c r="QJE21"/>
      <c r="QJF21"/>
      <c r="QJG21"/>
      <c r="QJH21"/>
      <c r="QJI21"/>
      <c r="QJJ21"/>
      <c r="QJK21"/>
      <c r="QJL21"/>
      <c r="QJM21"/>
      <c r="QJN21"/>
      <c r="QJO21"/>
      <c r="QJP21"/>
      <c r="QJQ21"/>
      <c r="QJR21"/>
      <c r="QJS21"/>
      <c r="QJT21"/>
      <c r="QJU21"/>
      <c r="QJV21"/>
      <c r="QJW21"/>
      <c r="QJX21"/>
      <c r="QJY21"/>
      <c r="QJZ21"/>
      <c r="QKA21"/>
      <c r="QKB21"/>
      <c r="QKC21"/>
      <c r="QKD21"/>
      <c r="QKE21"/>
      <c r="QKF21"/>
      <c r="QKG21"/>
      <c r="QKH21"/>
      <c r="QKI21"/>
      <c r="QKJ21"/>
      <c r="QKK21"/>
      <c r="QKL21"/>
      <c r="QKM21"/>
      <c r="QKN21"/>
      <c r="QKO21"/>
      <c r="QKP21"/>
      <c r="QKQ21"/>
      <c r="QKR21"/>
      <c r="QKS21"/>
      <c r="QKT21"/>
      <c r="QKU21"/>
      <c r="QKV21"/>
      <c r="QKW21"/>
      <c r="QKX21"/>
      <c r="QKY21"/>
      <c r="QKZ21"/>
      <c r="QLA21"/>
      <c r="QLB21"/>
      <c r="QLC21"/>
      <c r="QLD21"/>
      <c r="QLE21"/>
      <c r="QLF21"/>
      <c r="QLG21"/>
      <c r="QLH21"/>
      <c r="QLI21"/>
      <c r="QLJ21"/>
      <c r="QLK21"/>
      <c r="QLL21"/>
      <c r="QLM21"/>
      <c r="QLN21"/>
      <c r="QLO21"/>
      <c r="QLP21"/>
      <c r="QLQ21"/>
      <c r="QLR21"/>
      <c r="QLS21"/>
      <c r="QLT21"/>
      <c r="QLU21"/>
      <c r="QLV21"/>
      <c r="QLW21"/>
      <c r="QLX21"/>
      <c r="QLY21"/>
      <c r="QLZ21"/>
      <c r="QMA21"/>
      <c r="QMB21"/>
      <c r="QMC21"/>
      <c r="QMD21"/>
      <c r="QME21"/>
      <c r="QMF21"/>
      <c r="QMG21"/>
      <c r="QMH21"/>
      <c r="QMI21"/>
      <c r="QMJ21"/>
      <c r="QMK21"/>
      <c r="QML21"/>
      <c r="QMM21"/>
      <c r="QMN21"/>
      <c r="QMO21"/>
      <c r="QMP21"/>
      <c r="QMQ21"/>
      <c r="QMR21"/>
      <c r="QMS21"/>
      <c r="QMT21"/>
      <c r="QMU21"/>
      <c r="QMV21"/>
      <c r="QMW21"/>
      <c r="QMX21"/>
      <c r="QMY21"/>
      <c r="QMZ21"/>
      <c r="QNA21"/>
      <c r="QNB21"/>
      <c r="QNC21"/>
      <c r="QND21"/>
      <c r="QNE21"/>
      <c r="QNF21"/>
      <c r="QNG21"/>
      <c r="QNH21"/>
      <c r="QNI21"/>
      <c r="QNJ21"/>
      <c r="QNK21"/>
      <c r="QNL21"/>
      <c r="QNM21"/>
      <c r="QNN21"/>
      <c r="QNO21"/>
      <c r="QNP21"/>
      <c r="QNQ21"/>
      <c r="QNR21"/>
      <c r="QNS21"/>
      <c r="QNT21"/>
      <c r="QNU21"/>
      <c r="QNV21"/>
      <c r="QNW21"/>
      <c r="QNX21"/>
      <c r="QNY21"/>
      <c r="QNZ21"/>
      <c r="QOA21"/>
      <c r="QOB21"/>
      <c r="QOC21"/>
      <c r="QOD21"/>
      <c r="QOE21"/>
      <c r="QOF21"/>
      <c r="QOG21"/>
      <c r="QOH21"/>
      <c r="QOI21"/>
      <c r="QOJ21"/>
      <c r="QOK21"/>
      <c r="QOL21"/>
      <c r="QOM21"/>
      <c r="QON21"/>
      <c r="QOO21"/>
      <c r="QOP21"/>
      <c r="QOQ21"/>
      <c r="QOR21"/>
      <c r="QOS21"/>
      <c r="QOT21"/>
      <c r="QOU21"/>
      <c r="QOV21"/>
      <c r="QOW21"/>
      <c r="QOX21"/>
      <c r="QOY21"/>
      <c r="QOZ21"/>
      <c r="QPA21"/>
      <c r="QPB21"/>
      <c r="QPC21"/>
      <c r="QPD21"/>
      <c r="QPE21"/>
      <c r="QPF21"/>
      <c r="QPG21"/>
      <c r="QPH21"/>
      <c r="QPI21"/>
      <c r="QPJ21"/>
      <c r="QPK21"/>
      <c r="QPL21"/>
      <c r="QPM21"/>
      <c r="QPN21"/>
      <c r="QPO21"/>
      <c r="QPP21"/>
      <c r="QPQ21"/>
      <c r="QPR21"/>
      <c r="QPS21"/>
      <c r="QPT21"/>
      <c r="QPU21"/>
      <c r="QPV21"/>
      <c r="QPW21"/>
      <c r="QPX21"/>
      <c r="QPY21"/>
      <c r="QPZ21"/>
      <c r="QQA21"/>
      <c r="QQB21"/>
      <c r="QQC21"/>
      <c r="QQD21"/>
      <c r="QQE21"/>
      <c r="QQF21"/>
      <c r="QQG21"/>
      <c r="QQH21"/>
      <c r="QQI21"/>
      <c r="QQJ21"/>
      <c r="QQK21"/>
      <c r="QQL21"/>
      <c r="QQM21"/>
      <c r="QQN21"/>
      <c r="QQO21"/>
      <c r="QQP21"/>
      <c r="QQQ21"/>
      <c r="QQR21"/>
      <c r="QQS21"/>
      <c r="QQT21"/>
      <c r="QQU21"/>
      <c r="QQV21"/>
      <c r="QQW21"/>
      <c r="QQX21"/>
      <c r="QQY21"/>
      <c r="QQZ21"/>
      <c r="QRA21"/>
      <c r="QRB21"/>
      <c r="QRC21"/>
      <c r="QRD21"/>
      <c r="QRE21"/>
      <c r="QRF21"/>
      <c r="QRG21"/>
      <c r="QRH21"/>
      <c r="QRI21"/>
      <c r="QRJ21"/>
      <c r="QRK21"/>
      <c r="QRL21"/>
      <c r="QRM21"/>
      <c r="QRN21"/>
      <c r="QRO21"/>
      <c r="QRP21"/>
      <c r="QRQ21"/>
      <c r="QRR21"/>
      <c r="QRS21"/>
      <c r="QRT21"/>
      <c r="QRU21"/>
      <c r="QRV21"/>
      <c r="QRW21"/>
      <c r="QRX21"/>
      <c r="QRY21"/>
      <c r="QRZ21"/>
      <c r="QSA21"/>
      <c r="QSB21"/>
      <c r="QSC21"/>
      <c r="QSD21"/>
      <c r="QSE21"/>
      <c r="QSF21"/>
      <c r="QSG21"/>
      <c r="QSH21"/>
      <c r="QSI21"/>
      <c r="QSJ21"/>
      <c r="QSK21"/>
      <c r="QSL21"/>
      <c r="QSM21"/>
      <c r="QSN21"/>
      <c r="QSO21"/>
      <c r="QSP21"/>
      <c r="QSQ21"/>
      <c r="QSR21"/>
      <c r="QSS21"/>
      <c r="QST21"/>
      <c r="QSU21"/>
      <c r="QSV21"/>
      <c r="QSW21"/>
      <c r="QSX21"/>
      <c r="QSY21"/>
      <c r="QSZ21"/>
      <c r="QTA21"/>
      <c r="QTB21"/>
      <c r="QTC21"/>
      <c r="QTD21"/>
      <c r="QTE21"/>
      <c r="QTF21"/>
      <c r="QTG21"/>
      <c r="QTH21"/>
      <c r="QTI21"/>
      <c r="QTJ21"/>
      <c r="QTK21"/>
      <c r="QTL21"/>
      <c r="QTM21"/>
      <c r="QTN21"/>
      <c r="QTO21"/>
      <c r="QTP21"/>
      <c r="QTQ21"/>
      <c r="QTR21"/>
      <c r="QTS21"/>
      <c r="QTT21"/>
      <c r="QTU21"/>
      <c r="QTV21"/>
      <c r="QTW21"/>
      <c r="QTX21"/>
      <c r="QTY21"/>
      <c r="QTZ21"/>
      <c r="QUA21"/>
      <c r="QUB21"/>
      <c r="QUC21"/>
      <c r="QUD21"/>
      <c r="QUE21"/>
      <c r="QUF21"/>
      <c r="QUG21"/>
      <c r="QUH21"/>
      <c r="QUI21"/>
      <c r="QUJ21"/>
      <c r="QUK21"/>
      <c r="QUL21"/>
      <c r="QUM21"/>
      <c r="QUN21"/>
      <c r="QUO21"/>
      <c r="QUP21"/>
      <c r="QUQ21"/>
      <c r="QUR21"/>
      <c r="QUS21"/>
      <c r="QUT21"/>
      <c r="QUU21"/>
      <c r="QUV21"/>
      <c r="QUW21"/>
      <c r="QUX21"/>
      <c r="QUY21"/>
      <c r="QUZ21"/>
      <c r="QVA21"/>
      <c r="QVB21"/>
      <c r="QVC21"/>
      <c r="QVD21"/>
      <c r="QVE21"/>
      <c r="QVF21"/>
      <c r="QVG21"/>
      <c r="QVH21"/>
      <c r="QVI21"/>
      <c r="QVJ21"/>
      <c r="QVK21"/>
      <c r="QVL21"/>
      <c r="QVM21"/>
      <c r="QVN21"/>
      <c r="QVO21"/>
      <c r="QVP21"/>
      <c r="QVQ21"/>
      <c r="QVR21"/>
      <c r="QVS21"/>
      <c r="QVT21"/>
      <c r="QVU21"/>
      <c r="QVV21"/>
      <c r="QVW21"/>
      <c r="QVX21"/>
      <c r="QVY21"/>
      <c r="QVZ21"/>
      <c r="QWA21"/>
      <c r="QWB21"/>
      <c r="QWC21"/>
      <c r="QWD21"/>
      <c r="QWE21"/>
      <c r="QWF21"/>
      <c r="QWG21"/>
      <c r="QWH21"/>
      <c r="QWI21"/>
      <c r="QWJ21"/>
      <c r="QWK21"/>
      <c r="QWL21"/>
      <c r="QWM21"/>
      <c r="QWN21"/>
      <c r="QWO21"/>
      <c r="QWP21"/>
      <c r="QWQ21"/>
      <c r="QWR21"/>
      <c r="QWS21"/>
      <c r="QWT21"/>
      <c r="QWU21"/>
      <c r="QWV21"/>
      <c r="QWW21"/>
      <c r="QWX21"/>
      <c r="QWY21"/>
      <c r="QWZ21"/>
      <c r="QXA21"/>
      <c r="QXB21"/>
      <c r="QXC21"/>
      <c r="QXD21"/>
      <c r="QXE21"/>
      <c r="QXF21"/>
      <c r="QXG21"/>
      <c r="QXH21"/>
      <c r="QXI21"/>
      <c r="QXJ21"/>
      <c r="QXK21"/>
      <c r="QXL21"/>
      <c r="QXM21"/>
      <c r="QXN21"/>
      <c r="QXO21"/>
      <c r="QXP21"/>
      <c r="QXQ21"/>
      <c r="QXR21"/>
      <c r="QXS21"/>
      <c r="QXT21"/>
      <c r="QXU21"/>
      <c r="QXV21"/>
      <c r="QXW21"/>
      <c r="QXX21"/>
      <c r="QXY21"/>
      <c r="QXZ21"/>
      <c r="QYA21"/>
      <c r="QYB21"/>
      <c r="QYC21"/>
      <c r="QYD21"/>
      <c r="QYE21"/>
      <c r="QYF21"/>
      <c r="QYG21"/>
      <c r="QYH21"/>
      <c r="QYI21"/>
      <c r="QYJ21"/>
      <c r="QYK21"/>
      <c r="QYL21"/>
      <c r="QYM21"/>
      <c r="QYN21"/>
      <c r="QYO21"/>
      <c r="QYP21"/>
      <c r="QYQ21"/>
      <c r="QYR21"/>
      <c r="QYS21"/>
      <c r="QYT21"/>
      <c r="QYU21"/>
      <c r="QYV21"/>
      <c r="QYW21"/>
      <c r="QYX21"/>
      <c r="QYY21"/>
      <c r="QYZ21"/>
      <c r="QZA21"/>
      <c r="QZB21"/>
      <c r="QZC21"/>
      <c r="QZD21"/>
      <c r="QZE21"/>
      <c r="QZF21"/>
      <c r="QZG21"/>
      <c r="QZH21"/>
      <c r="QZI21"/>
      <c r="QZJ21"/>
      <c r="QZK21"/>
      <c r="QZL21"/>
      <c r="QZM21"/>
      <c r="QZN21"/>
      <c r="QZO21"/>
      <c r="QZP21"/>
      <c r="QZQ21"/>
      <c r="QZR21"/>
      <c r="QZS21"/>
      <c r="QZT21"/>
      <c r="QZU21"/>
      <c r="QZV21"/>
      <c r="QZW21"/>
      <c r="QZX21"/>
      <c r="QZY21"/>
      <c r="QZZ21"/>
      <c r="RAA21"/>
      <c r="RAB21"/>
      <c r="RAC21"/>
      <c r="RAD21"/>
      <c r="RAE21"/>
      <c r="RAF21"/>
      <c r="RAG21"/>
      <c r="RAH21"/>
      <c r="RAI21"/>
      <c r="RAJ21"/>
      <c r="RAK21"/>
      <c r="RAL21"/>
      <c r="RAM21"/>
      <c r="RAN21"/>
      <c r="RAO21"/>
      <c r="RAP21"/>
      <c r="RAQ21"/>
      <c r="RAR21"/>
      <c r="RAS21"/>
      <c r="RAT21"/>
      <c r="RAU21"/>
      <c r="RAV21"/>
      <c r="RAW21"/>
      <c r="RAX21"/>
      <c r="RAY21"/>
      <c r="RAZ21"/>
      <c r="RBA21"/>
      <c r="RBB21"/>
      <c r="RBC21"/>
      <c r="RBD21"/>
      <c r="RBE21"/>
      <c r="RBF21"/>
      <c r="RBG21"/>
      <c r="RBH21"/>
      <c r="RBI21"/>
      <c r="RBJ21"/>
      <c r="RBK21"/>
      <c r="RBL21"/>
      <c r="RBM21"/>
      <c r="RBN21"/>
      <c r="RBO21"/>
      <c r="RBP21"/>
      <c r="RBQ21"/>
      <c r="RBR21"/>
      <c r="RBS21"/>
      <c r="RBT21"/>
      <c r="RBU21"/>
      <c r="RBV21"/>
      <c r="RBW21"/>
      <c r="RBX21"/>
      <c r="RBY21"/>
      <c r="RBZ21"/>
      <c r="RCA21"/>
      <c r="RCB21"/>
      <c r="RCC21"/>
      <c r="RCD21"/>
      <c r="RCE21"/>
      <c r="RCF21"/>
      <c r="RCG21"/>
      <c r="RCH21"/>
      <c r="RCI21"/>
      <c r="RCJ21"/>
      <c r="RCK21"/>
      <c r="RCL21"/>
      <c r="RCM21"/>
      <c r="RCN21"/>
      <c r="RCO21"/>
      <c r="RCP21"/>
      <c r="RCQ21"/>
      <c r="RCR21"/>
      <c r="RCS21"/>
      <c r="RCT21"/>
      <c r="RCU21"/>
      <c r="RCV21"/>
      <c r="RCW21"/>
      <c r="RCX21"/>
      <c r="RCY21"/>
      <c r="RCZ21"/>
      <c r="RDA21"/>
      <c r="RDB21"/>
      <c r="RDC21"/>
      <c r="RDD21"/>
      <c r="RDE21"/>
      <c r="RDF21"/>
      <c r="RDG21"/>
      <c r="RDH21"/>
      <c r="RDI21"/>
      <c r="RDJ21"/>
      <c r="RDK21"/>
      <c r="RDL21"/>
      <c r="RDM21"/>
      <c r="RDN21"/>
      <c r="RDO21"/>
      <c r="RDP21"/>
      <c r="RDQ21"/>
      <c r="RDR21"/>
      <c r="RDS21"/>
      <c r="RDT21"/>
      <c r="RDU21"/>
      <c r="RDV21"/>
      <c r="RDW21"/>
      <c r="RDX21"/>
      <c r="RDY21"/>
      <c r="RDZ21"/>
      <c r="REA21"/>
      <c r="REB21"/>
      <c r="REC21"/>
      <c r="RED21"/>
      <c r="REE21"/>
      <c r="REF21"/>
      <c r="REG21"/>
      <c r="REH21"/>
      <c r="REI21"/>
      <c r="REJ21"/>
      <c r="REK21"/>
      <c r="REL21"/>
      <c r="REM21"/>
      <c r="REN21"/>
      <c r="REO21"/>
      <c r="REP21"/>
      <c r="REQ21"/>
      <c r="RER21"/>
      <c r="RES21"/>
      <c r="RET21"/>
      <c r="REU21"/>
      <c r="REV21"/>
      <c r="REW21"/>
      <c r="REX21"/>
      <c r="REY21"/>
      <c r="REZ21"/>
      <c r="RFA21"/>
      <c r="RFB21"/>
      <c r="RFC21"/>
      <c r="RFD21"/>
      <c r="RFE21"/>
      <c r="RFF21"/>
      <c r="RFG21"/>
      <c r="RFH21"/>
      <c r="RFI21"/>
      <c r="RFJ21"/>
      <c r="RFK21"/>
      <c r="RFL21"/>
      <c r="RFM21"/>
      <c r="RFN21"/>
      <c r="RFO21"/>
      <c r="RFP21"/>
      <c r="RFQ21"/>
      <c r="RFR21"/>
      <c r="RFS21"/>
      <c r="RFT21"/>
      <c r="RFU21"/>
      <c r="RFV21"/>
      <c r="RFW21"/>
      <c r="RFX21"/>
      <c r="RFY21"/>
      <c r="RFZ21"/>
      <c r="RGA21"/>
      <c r="RGB21"/>
      <c r="RGC21"/>
      <c r="RGD21"/>
      <c r="RGE21"/>
      <c r="RGF21"/>
      <c r="RGG21"/>
      <c r="RGH21"/>
      <c r="RGI21"/>
      <c r="RGJ21"/>
      <c r="RGK21"/>
      <c r="RGL21"/>
      <c r="RGM21"/>
      <c r="RGN21"/>
      <c r="RGO21"/>
      <c r="RGP21"/>
      <c r="RGQ21"/>
      <c r="RGR21"/>
      <c r="RGS21"/>
      <c r="RGT21"/>
      <c r="RGU21"/>
      <c r="RGV21"/>
      <c r="RGW21"/>
      <c r="RGX21"/>
      <c r="RGY21"/>
      <c r="RGZ21"/>
      <c r="RHA21"/>
      <c r="RHB21"/>
      <c r="RHC21"/>
      <c r="RHD21"/>
      <c r="RHE21"/>
      <c r="RHF21"/>
      <c r="RHG21"/>
      <c r="RHH21"/>
      <c r="RHI21"/>
      <c r="RHJ21"/>
      <c r="RHK21"/>
      <c r="RHL21"/>
      <c r="RHM21"/>
      <c r="RHN21"/>
      <c r="RHO21"/>
      <c r="RHP21"/>
      <c r="RHQ21"/>
      <c r="RHR21"/>
      <c r="RHS21"/>
      <c r="RHT21"/>
      <c r="RHU21"/>
      <c r="RHV21"/>
      <c r="RHW21"/>
      <c r="RHX21"/>
      <c r="RHY21"/>
      <c r="RHZ21"/>
      <c r="RIA21"/>
      <c r="RIB21"/>
      <c r="RIC21"/>
      <c r="RID21"/>
      <c r="RIE21"/>
      <c r="RIF21"/>
      <c r="RIG21"/>
      <c r="RIH21"/>
      <c r="RII21"/>
      <c r="RIJ21"/>
      <c r="RIK21"/>
      <c r="RIL21"/>
      <c r="RIM21"/>
      <c r="RIN21"/>
      <c r="RIO21"/>
      <c r="RIP21"/>
      <c r="RIQ21"/>
      <c r="RIR21"/>
      <c r="RIS21"/>
      <c r="RIT21"/>
      <c r="RIU21"/>
      <c r="RIV21"/>
      <c r="RIW21"/>
      <c r="RIX21"/>
      <c r="RIY21"/>
      <c r="RIZ21"/>
      <c r="RJA21"/>
      <c r="RJB21"/>
      <c r="RJC21"/>
      <c r="RJD21"/>
      <c r="RJE21"/>
      <c r="RJF21"/>
      <c r="RJG21"/>
      <c r="RJH21"/>
      <c r="RJI21"/>
      <c r="RJJ21"/>
      <c r="RJK21"/>
      <c r="RJL21"/>
      <c r="RJM21"/>
      <c r="RJN21"/>
      <c r="RJO21"/>
      <c r="RJP21"/>
      <c r="RJQ21"/>
      <c r="RJR21"/>
      <c r="RJS21"/>
      <c r="RJT21"/>
      <c r="RJU21"/>
      <c r="RJV21"/>
      <c r="RJW21"/>
      <c r="RJX21"/>
      <c r="RJY21"/>
      <c r="RJZ21"/>
      <c r="RKA21"/>
      <c r="RKB21"/>
      <c r="RKC21"/>
      <c r="RKD21"/>
      <c r="RKE21"/>
      <c r="RKF21"/>
      <c r="RKG21"/>
      <c r="RKH21"/>
      <c r="RKI21"/>
      <c r="RKJ21"/>
      <c r="RKK21"/>
      <c r="RKL21"/>
      <c r="RKM21"/>
      <c r="RKN21"/>
      <c r="RKO21"/>
      <c r="RKP21"/>
      <c r="RKQ21"/>
      <c r="RKR21"/>
      <c r="RKS21"/>
      <c r="RKT21"/>
      <c r="RKU21"/>
      <c r="RKV21"/>
      <c r="RKW21"/>
      <c r="RKX21"/>
      <c r="RKY21"/>
      <c r="RKZ21"/>
      <c r="RLA21"/>
      <c r="RLB21"/>
      <c r="RLC21"/>
      <c r="RLD21"/>
      <c r="RLE21"/>
      <c r="RLF21"/>
      <c r="RLG21"/>
      <c r="RLH21"/>
      <c r="RLI21"/>
      <c r="RLJ21"/>
      <c r="RLK21"/>
      <c r="RLL21"/>
      <c r="RLM21"/>
      <c r="RLN21"/>
      <c r="RLO21"/>
      <c r="RLP21"/>
      <c r="RLQ21"/>
      <c r="RLR21"/>
      <c r="RLS21"/>
      <c r="RLT21"/>
      <c r="RLU21"/>
      <c r="RLV21"/>
      <c r="RLW21"/>
      <c r="RLX21"/>
      <c r="RLY21"/>
      <c r="RLZ21"/>
      <c r="RMA21"/>
      <c r="RMB21"/>
      <c r="RMC21"/>
      <c r="RMD21"/>
      <c r="RME21"/>
      <c r="RMF21"/>
      <c r="RMG21"/>
      <c r="RMH21"/>
      <c r="RMI21"/>
      <c r="RMJ21"/>
      <c r="RMK21"/>
      <c r="RML21"/>
      <c r="RMM21"/>
      <c r="RMN21"/>
      <c r="RMO21"/>
      <c r="RMP21"/>
      <c r="RMQ21"/>
      <c r="RMR21"/>
      <c r="RMS21"/>
      <c r="RMT21"/>
      <c r="RMU21"/>
      <c r="RMV21"/>
      <c r="RMW21"/>
      <c r="RMX21"/>
      <c r="RMY21"/>
      <c r="RMZ21"/>
      <c r="RNA21"/>
      <c r="RNB21"/>
      <c r="RNC21"/>
      <c r="RND21"/>
      <c r="RNE21"/>
      <c r="RNF21"/>
      <c r="RNG21"/>
      <c r="RNH21"/>
      <c r="RNI21"/>
      <c r="RNJ21"/>
      <c r="RNK21"/>
      <c r="RNL21"/>
      <c r="RNM21"/>
      <c r="RNN21"/>
      <c r="RNO21"/>
      <c r="RNP21"/>
      <c r="RNQ21"/>
      <c r="RNR21"/>
      <c r="RNS21"/>
      <c r="RNT21"/>
      <c r="RNU21"/>
      <c r="RNV21"/>
      <c r="RNW21"/>
      <c r="RNX21"/>
      <c r="RNY21"/>
      <c r="RNZ21"/>
      <c r="ROA21"/>
      <c r="ROB21"/>
      <c r="ROC21"/>
      <c r="ROD21"/>
      <c r="ROE21"/>
      <c r="ROF21"/>
      <c r="ROG21"/>
      <c r="ROH21"/>
      <c r="ROI21"/>
      <c r="ROJ21"/>
      <c r="ROK21"/>
      <c r="ROL21"/>
      <c r="ROM21"/>
      <c r="RON21"/>
      <c r="ROO21"/>
      <c r="ROP21"/>
      <c r="ROQ21"/>
      <c r="ROR21"/>
      <c r="ROS21"/>
      <c r="ROT21"/>
      <c r="ROU21"/>
      <c r="ROV21"/>
      <c r="ROW21"/>
      <c r="ROX21"/>
      <c r="ROY21"/>
      <c r="ROZ21"/>
      <c r="RPA21"/>
      <c r="RPB21"/>
      <c r="RPC21"/>
      <c r="RPD21"/>
      <c r="RPE21"/>
      <c r="RPF21"/>
      <c r="RPG21"/>
      <c r="RPH21"/>
      <c r="RPI21"/>
      <c r="RPJ21"/>
      <c r="RPK21"/>
      <c r="RPL21"/>
      <c r="RPM21"/>
      <c r="RPN21"/>
      <c r="RPO21"/>
      <c r="RPP21"/>
      <c r="RPQ21"/>
      <c r="RPR21"/>
      <c r="RPS21"/>
      <c r="RPT21"/>
      <c r="RPU21"/>
      <c r="RPV21"/>
      <c r="RPW21"/>
      <c r="RPX21"/>
      <c r="RPY21"/>
      <c r="RPZ21"/>
      <c r="RQA21"/>
      <c r="RQB21"/>
      <c r="RQC21"/>
      <c r="RQD21"/>
      <c r="RQE21"/>
      <c r="RQF21"/>
      <c r="RQG21"/>
      <c r="RQH21"/>
      <c r="RQI21"/>
      <c r="RQJ21"/>
      <c r="RQK21"/>
      <c r="RQL21"/>
      <c r="RQM21"/>
      <c r="RQN21"/>
      <c r="RQO21"/>
      <c r="RQP21"/>
      <c r="RQQ21"/>
      <c r="RQR21"/>
      <c r="RQS21"/>
      <c r="RQT21"/>
      <c r="RQU21"/>
      <c r="RQV21"/>
      <c r="RQW21"/>
      <c r="RQX21"/>
      <c r="RQY21"/>
      <c r="RQZ21"/>
      <c r="RRA21"/>
      <c r="RRB21"/>
      <c r="RRC21"/>
      <c r="RRD21"/>
      <c r="RRE21"/>
      <c r="RRF21"/>
      <c r="RRG21"/>
      <c r="RRH21"/>
      <c r="RRI21"/>
      <c r="RRJ21"/>
      <c r="RRK21"/>
      <c r="RRL21"/>
      <c r="RRM21"/>
      <c r="RRN21"/>
      <c r="RRO21"/>
      <c r="RRP21"/>
      <c r="RRQ21"/>
      <c r="RRR21"/>
      <c r="RRS21"/>
      <c r="RRT21"/>
      <c r="RRU21"/>
      <c r="RRV21"/>
      <c r="RRW21"/>
      <c r="RRX21"/>
      <c r="RRY21"/>
      <c r="RRZ21"/>
      <c r="RSA21"/>
      <c r="RSB21"/>
      <c r="RSC21"/>
      <c r="RSD21"/>
      <c r="RSE21"/>
      <c r="RSF21"/>
      <c r="RSG21"/>
      <c r="RSH21"/>
      <c r="RSI21"/>
      <c r="RSJ21"/>
      <c r="RSK21"/>
      <c r="RSL21"/>
      <c r="RSM21"/>
      <c r="RSN21"/>
      <c r="RSO21"/>
      <c r="RSP21"/>
      <c r="RSQ21"/>
      <c r="RSR21"/>
      <c r="RSS21"/>
      <c r="RST21"/>
      <c r="RSU21"/>
      <c r="RSV21"/>
      <c r="RSW21"/>
      <c r="RSX21"/>
      <c r="RSY21"/>
      <c r="RSZ21"/>
      <c r="RTA21"/>
      <c r="RTB21"/>
      <c r="RTC21"/>
      <c r="RTD21"/>
      <c r="RTE21"/>
      <c r="RTF21"/>
      <c r="RTG21"/>
      <c r="RTH21"/>
      <c r="RTI21"/>
      <c r="RTJ21"/>
      <c r="RTK21"/>
      <c r="RTL21"/>
      <c r="RTM21"/>
      <c r="RTN21"/>
      <c r="RTO21"/>
      <c r="RTP21"/>
      <c r="RTQ21"/>
      <c r="RTR21"/>
      <c r="RTS21"/>
      <c r="RTT21"/>
      <c r="RTU21"/>
      <c r="RTV21"/>
      <c r="RTW21"/>
      <c r="RTX21"/>
      <c r="RTY21"/>
      <c r="RTZ21"/>
      <c r="RUA21"/>
      <c r="RUB21"/>
      <c r="RUC21"/>
      <c r="RUD21"/>
      <c r="RUE21"/>
      <c r="RUF21"/>
      <c r="RUG21"/>
      <c r="RUH21"/>
      <c r="RUI21"/>
      <c r="RUJ21"/>
      <c r="RUK21"/>
      <c r="RUL21"/>
      <c r="RUM21"/>
      <c r="RUN21"/>
      <c r="RUO21"/>
      <c r="RUP21"/>
      <c r="RUQ21"/>
      <c r="RUR21"/>
      <c r="RUS21"/>
      <c r="RUT21"/>
      <c r="RUU21"/>
      <c r="RUV21"/>
      <c r="RUW21"/>
      <c r="RUX21"/>
      <c r="RUY21"/>
      <c r="RUZ21"/>
      <c r="RVA21"/>
      <c r="RVB21"/>
      <c r="RVC21"/>
      <c r="RVD21"/>
      <c r="RVE21"/>
      <c r="RVF21"/>
      <c r="RVG21"/>
      <c r="RVH21"/>
      <c r="RVI21"/>
      <c r="RVJ21"/>
      <c r="RVK21"/>
      <c r="RVL21"/>
      <c r="RVM21"/>
      <c r="RVN21"/>
      <c r="RVO21"/>
      <c r="RVP21"/>
      <c r="RVQ21"/>
      <c r="RVR21"/>
      <c r="RVS21"/>
      <c r="RVT21"/>
      <c r="RVU21"/>
      <c r="RVV21"/>
      <c r="RVW21"/>
      <c r="RVX21"/>
      <c r="RVY21"/>
      <c r="RVZ21"/>
      <c r="RWA21"/>
      <c r="RWB21"/>
      <c r="RWC21"/>
      <c r="RWD21"/>
      <c r="RWE21"/>
      <c r="RWF21"/>
      <c r="RWG21"/>
      <c r="RWH21"/>
      <c r="RWI21"/>
      <c r="RWJ21"/>
      <c r="RWK21"/>
      <c r="RWL21"/>
      <c r="RWM21"/>
      <c r="RWN21"/>
      <c r="RWO21"/>
      <c r="RWP21"/>
      <c r="RWQ21"/>
      <c r="RWR21"/>
      <c r="RWS21"/>
      <c r="RWT21"/>
      <c r="RWU21"/>
      <c r="RWV21"/>
      <c r="RWW21"/>
      <c r="RWX21"/>
      <c r="RWY21"/>
      <c r="RWZ21"/>
      <c r="RXA21"/>
      <c r="RXB21"/>
      <c r="RXC21"/>
      <c r="RXD21"/>
      <c r="RXE21"/>
      <c r="RXF21"/>
      <c r="RXG21"/>
      <c r="RXH21"/>
      <c r="RXI21"/>
      <c r="RXJ21"/>
      <c r="RXK21"/>
      <c r="RXL21"/>
      <c r="RXM21"/>
      <c r="RXN21"/>
      <c r="RXO21"/>
      <c r="RXP21"/>
      <c r="RXQ21"/>
      <c r="RXR21"/>
      <c r="RXS21"/>
      <c r="RXT21"/>
      <c r="RXU21"/>
      <c r="RXV21"/>
      <c r="RXW21"/>
      <c r="RXX21"/>
      <c r="RXY21"/>
      <c r="RXZ21"/>
      <c r="RYA21"/>
      <c r="RYB21"/>
      <c r="RYC21"/>
      <c r="RYD21"/>
      <c r="RYE21"/>
      <c r="RYF21"/>
      <c r="RYG21"/>
      <c r="RYH21"/>
      <c r="RYI21"/>
      <c r="RYJ21"/>
      <c r="RYK21"/>
      <c r="RYL21"/>
      <c r="RYM21"/>
      <c r="RYN21"/>
      <c r="RYO21"/>
      <c r="RYP21"/>
      <c r="RYQ21"/>
      <c r="RYR21"/>
      <c r="RYS21"/>
      <c r="RYT21"/>
      <c r="RYU21"/>
      <c r="RYV21"/>
      <c r="RYW21"/>
      <c r="RYX21"/>
      <c r="RYY21"/>
      <c r="RYZ21"/>
      <c r="RZA21"/>
      <c r="RZB21"/>
      <c r="RZC21"/>
      <c r="RZD21"/>
      <c r="RZE21"/>
      <c r="RZF21"/>
      <c r="RZG21"/>
      <c r="RZH21"/>
      <c r="RZI21"/>
      <c r="RZJ21"/>
      <c r="RZK21"/>
      <c r="RZL21"/>
      <c r="RZM21"/>
      <c r="RZN21"/>
      <c r="RZO21"/>
      <c r="RZP21"/>
      <c r="RZQ21"/>
      <c r="RZR21"/>
      <c r="RZS21"/>
      <c r="RZT21"/>
      <c r="RZU21"/>
      <c r="RZV21"/>
      <c r="RZW21"/>
      <c r="RZX21"/>
      <c r="RZY21"/>
      <c r="RZZ21"/>
      <c r="SAA21"/>
      <c r="SAB21"/>
      <c r="SAC21"/>
      <c r="SAD21"/>
      <c r="SAE21"/>
      <c r="SAF21"/>
      <c r="SAG21"/>
      <c r="SAH21"/>
      <c r="SAI21"/>
      <c r="SAJ21"/>
      <c r="SAK21"/>
      <c r="SAL21"/>
      <c r="SAM21"/>
      <c r="SAN21"/>
      <c r="SAO21"/>
      <c r="SAP21"/>
      <c r="SAQ21"/>
      <c r="SAR21"/>
      <c r="SAS21"/>
      <c r="SAT21"/>
      <c r="SAU21"/>
      <c r="SAV21"/>
      <c r="SAW21"/>
      <c r="SAX21"/>
      <c r="SAY21"/>
      <c r="SAZ21"/>
      <c r="SBA21"/>
      <c r="SBB21"/>
      <c r="SBC21"/>
      <c r="SBD21"/>
      <c r="SBE21"/>
      <c r="SBF21"/>
      <c r="SBG21"/>
      <c r="SBH21"/>
      <c r="SBI21"/>
      <c r="SBJ21"/>
      <c r="SBK21"/>
      <c r="SBL21"/>
      <c r="SBM21"/>
      <c r="SBN21"/>
      <c r="SBO21"/>
      <c r="SBP21"/>
      <c r="SBQ21"/>
      <c r="SBR21"/>
      <c r="SBS21"/>
      <c r="SBT21"/>
      <c r="SBU21"/>
      <c r="SBV21"/>
      <c r="SBW21"/>
      <c r="SBX21"/>
      <c r="SBY21"/>
      <c r="SBZ21"/>
      <c r="SCA21"/>
      <c r="SCB21"/>
      <c r="SCC21"/>
      <c r="SCD21"/>
      <c r="SCE21"/>
      <c r="SCF21"/>
      <c r="SCG21"/>
      <c r="SCH21"/>
      <c r="SCI21"/>
      <c r="SCJ21"/>
      <c r="SCK21"/>
      <c r="SCL21"/>
      <c r="SCM21"/>
      <c r="SCN21"/>
      <c r="SCO21"/>
      <c r="SCP21"/>
      <c r="SCQ21"/>
      <c r="SCR21"/>
      <c r="SCS21"/>
      <c r="SCT21"/>
      <c r="SCU21"/>
      <c r="SCV21"/>
      <c r="SCW21"/>
      <c r="SCX21"/>
      <c r="SCY21"/>
      <c r="SCZ21"/>
      <c r="SDA21"/>
      <c r="SDB21"/>
      <c r="SDC21"/>
      <c r="SDD21"/>
      <c r="SDE21"/>
      <c r="SDF21"/>
      <c r="SDG21"/>
      <c r="SDH21"/>
      <c r="SDI21"/>
      <c r="SDJ21"/>
      <c r="SDK21"/>
      <c r="SDL21"/>
      <c r="SDM21"/>
      <c r="SDN21"/>
      <c r="SDO21"/>
      <c r="SDP21"/>
      <c r="SDQ21"/>
      <c r="SDR21"/>
      <c r="SDS21"/>
      <c r="SDT21"/>
      <c r="SDU21"/>
      <c r="SDV21"/>
      <c r="SDW21"/>
      <c r="SDX21"/>
      <c r="SDY21"/>
      <c r="SDZ21"/>
      <c r="SEA21"/>
      <c r="SEB21"/>
      <c r="SEC21"/>
      <c r="SED21"/>
      <c r="SEE21"/>
      <c r="SEF21"/>
      <c r="SEG21"/>
      <c r="SEH21"/>
      <c r="SEI21"/>
      <c r="SEJ21"/>
      <c r="SEK21"/>
      <c r="SEL21"/>
      <c r="SEM21"/>
      <c r="SEN21"/>
      <c r="SEO21"/>
      <c r="SEP21"/>
      <c r="SEQ21"/>
      <c r="SER21"/>
      <c r="SES21"/>
      <c r="SET21"/>
      <c r="SEU21"/>
      <c r="SEV21"/>
      <c r="SEW21"/>
      <c r="SEX21"/>
      <c r="SEY21"/>
      <c r="SEZ21"/>
      <c r="SFA21"/>
      <c r="SFB21"/>
      <c r="SFC21"/>
      <c r="SFD21"/>
      <c r="SFE21"/>
      <c r="SFF21"/>
      <c r="SFG21"/>
      <c r="SFH21"/>
      <c r="SFI21"/>
      <c r="SFJ21"/>
      <c r="SFK21"/>
      <c r="SFL21"/>
      <c r="SFM21"/>
      <c r="SFN21"/>
      <c r="SFO21"/>
      <c r="SFP21"/>
      <c r="SFQ21"/>
      <c r="SFR21"/>
      <c r="SFS21"/>
      <c r="SFT21"/>
      <c r="SFU21"/>
      <c r="SFV21"/>
      <c r="SFW21"/>
      <c r="SFX21"/>
      <c r="SFY21"/>
      <c r="SFZ21"/>
      <c r="SGA21"/>
      <c r="SGB21"/>
      <c r="SGC21"/>
      <c r="SGD21"/>
      <c r="SGE21"/>
      <c r="SGF21"/>
      <c r="SGG21"/>
      <c r="SGH21"/>
      <c r="SGI21"/>
      <c r="SGJ21"/>
      <c r="SGK21"/>
      <c r="SGL21"/>
      <c r="SGM21"/>
      <c r="SGN21"/>
      <c r="SGO21"/>
      <c r="SGP21"/>
      <c r="SGQ21"/>
      <c r="SGR21"/>
      <c r="SGS21"/>
      <c r="SGT21"/>
      <c r="SGU21"/>
      <c r="SGV21"/>
      <c r="SGW21"/>
      <c r="SGX21"/>
      <c r="SGY21"/>
      <c r="SGZ21"/>
      <c r="SHA21"/>
      <c r="SHB21"/>
      <c r="SHC21"/>
      <c r="SHD21"/>
      <c r="SHE21"/>
      <c r="SHF21"/>
      <c r="SHG21"/>
      <c r="SHH21"/>
      <c r="SHI21"/>
      <c r="SHJ21"/>
      <c r="SHK21"/>
      <c r="SHL21"/>
      <c r="SHM21"/>
      <c r="SHN21"/>
      <c r="SHO21"/>
      <c r="SHP21"/>
      <c r="SHQ21"/>
      <c r="SHR21"/>
      <c r="SHS21"/>
      <c r="SHT21"/>
      <c r="SHU21"/>
      <c r="SHV21"/>
      <c r="SHW21"/>
      <c r="SHX21"/>
      <c r="SHY21"/>
      <c r="SHZ21"/>
      <c r="SIA21"/>
      <c r="SIB21"/>
      <c r="SIC21"/>
      <c r="SID21"/>
      <c r="SIE21"/>
      <c r="SIF21"/>
      <c r="SIG21"/>
      <c r="SIH21"/>
      <c r="SII21"/>
      <c r="SIJ21"/>
      <c r="SIK21"/>
      <c r="SIL21"/>
      <c r="SIM21"/>
      <c r="SIN21"/>
      <c r="SIO21"/>
      <c r="SIP21"/>
      <c r="SIQ21"/>
      <c r="SIR21"/>
      <c r="SIS21"/>
      <c r="SIT21"/>
      <c r="SIU21"/>
      <c r="SIV21"/>
      <c r="SIW21"/>
      <c r="SIX21"/>
      <c r="SIY21"/>
      <c r="SIZ21"/>
      <c r="SJA21"/>
      <c r="SJB21"/>
      <c r="SJC21"/>
      <c r="SJD21"/>
      <c r="SJE21"/>
      <c r="SJF21"/>
      <c r="SJG21"/>
      <c r="SJH21"/>
      <c r="SJI21"/>
      <c r="SJJ21"/>
      <c r="SJK21"/>
      <c r="SJL21"/>
      <c r="SJM21"/>
      <c r="SJN21"/>
      <c r="SJO21"/>
      <c r="SJP21"/>
      <c r="SJQ21"/>
      <c r="SJR21"/>
      <c r="SJS21"/>
      <c r="SJT21"/>
      <c r="SJU21"/>
      <c r="SJV21"/>
      <c r="SJW21"/>
      <c r="SJX21"/>
      <c r="SJY21"/>
      <c r="SJZ21"/>
      <c r="SKA21"/>
      <c r="SKB21"/>
      <c r="SKC21"/>
      <c r="SKD21"/>
      <c r="SKE21"/>
      <c r="SKF21"/>
      <c r="SKG21"/>
      <c r="SKH21"/>
      <c r="SKI21"/>
      <c r="SKJ21"/>
      <c r="SKK21"/>
      <c r="SKL21"/>
      <c r="SKM21"/>
      <c r="SKN21"/>
      <c r="SKO21"/>
      <c r="SKP21"/>
      <c r="SKQ21"/>
      <c r="SKR21"/>
      <c r="SKS21"/>
      <c r="SKT21"/>
      <c r="SKU21"/>
      <c r="SKV21"/>
      <c r="SKW21"/>
      <c r="SKX21"/>
      <c r="SKY21"/>
      <c r="SKZ21"/>
      <c r="SLA21"/>
      <c r="SLB21"/>
      <c r="SLC21"/>
      <c r="SLD21"/>
      <c r="SLE21"/>
      <c r="SLF21"/>
      <c r="SLG21"/>
      <c r="SLH21"/>
      <c r="SLI21"/>
      <c r="SLJ21"/>
      <c r="SLK21"/>
      <c r="SLL21"/>
      <c r="SLM21"/>
      <c r="SLN21"/>
      <c r="SLO21"/>
      <c r="SLP21"/>
      <c r="SLQ21"/>
      <c r="SLR21"/>
      <c r="SLS21"/>
      <c r="SLT21"/>
      <c r="SLU21"/>
      <c r="SLV21"/>
      <c r="SLW21"/>
      <c r="SLX21"/>
      <c r="SLY21"/>
      <c r="SLZ21"/>
      <c r="SMA21"/>
      <c r="SMB21"/>
      <c r="SMC21"/>
      <c r="SMD21"/>
      <c r="SME21"/>
      <c r="SMF21"/>
      <c r="SMG21"/>
      <c r="SMH21"/>
      <c r="SMI21"/>
      <c r="SMJ21"/>
      <c r="SMK21"/>
      <c r="SML21"/>
      <c r="SMM21"/>
      <c r="SMN21"/>
      <c r="SMO21"/>
      <c r="SMP21"/>
      <c r="SMQ21"/>
      <c r="SMR21"/>
      <c r="SMS21"/>
      <c r="SMT21"/>
      <c r="SMU21"/>
      <c r="SMV21"/>
      <c r="SMW21"/>
      <c r="SMX21"/>
      <c r="SMY21"/>
      <c r="SMZ21"/>
      <c r="SNA21"/>
      <c r="SNB21"/>
      <c r="SNC21"/>
      <c r="SND21"/>
      <c r="SNE21"/>
      <c r="SNF21"/>
      <c r="SNG21"/>
      <c r="SNH21"/>
      <c r="SNI21"/>
      <c r="SNJ21"/>
      <c r="SNK21"/>
      <c r="SNL21"/>
      <c r="SNM21"/>
      <c r="SNN21"/>
      <c r="SNO21"/>
      <c r="SNP21"/>
      <c r="SNQ21"/>
      <c r="SNR21"/>
      <c r="SNS21"/>
      <c r="SNT21"/>
      <c r="SNU21"/>
      <c r="SNV21"/>
      <c r="SNW21"/>
      <c r="SNX21"/>
      <c r="SNY21"/>
      <c r="SNZ21"/>
      <c r="SOA21"/>
      <c r="SOB21"/>
      <c r="SOC21"/>
      <c r="SOD21"/>
      <c r="SOE21"/>
      <c r="SOF21"/>
      <c r="SOG21"/>
      <c r="SOH21"/>
      <c r="SOI21"/>
      <c r="SOJ21"/>
      <c r="SOK21"/>
      <c r="SOL21"/>
      <c r="SOM21"/>
      <c r="SON21"/>
      <c r="SOO21"/>
      <c r="SOP21"/>
      <c r="SOQ21"/>
      <c r="SOR21"/>
      <c r="SOS21"/>
      <c r="SOT21"/>
      <c r="SOU21"/>
      <c r="SOV21"/>
      <c r="SOW21"/>
      <c r="SOX21"/>
      <c r="SOY21"/>
      <c r="SOZ21"/>
      <c r="SPA21"/>
      <c r="SPB21"/>
      <c r="SPC21"/>
      <c r="SPD21"/>
      <c r="SPE21"/>
      <c r="SPF21"/>
      <c r="SPG21"/>
      <c r="SPH21"/>
      <c r="SPI21"/>
      <c r="SPJ21"/>
      <c r="SPK21"/>
      <c r="SPL21"/>
      <c r="SPM21"/>
      <c r="SPN21"/>
      <c r="SPO21"/>
      <c r="SPP21"/>
      <c r="SPQ21"/>
      <c r="SPR21"/>
      <c r="SPS21"/>
      <c r="SPT21"/>
      <c r="SPU21"/>
      <c r="SPV21"/>
      <c r="SPW21"/>
      <c r="SPX21"/>
      <c r="SPY21"/>
      <c r="SPZ21"/>
      <c r="SQA21"/>
      <c r="SQB21"/>
      <c r="SQC21"/>
      <c r="SQD21"/>
      <c r="SQE21"/>
      <c r="SQF21"/>
      <c r="SQG21"/>
      <c r="SQH21"/>
      <c r="SQI21"/>
      <c r="SQJ21"/>
      <c r="SQK21"/>
      <c r="SQL21"/>
      <c r="SQM21"/>
      <c r="SQN21"/>
      <c r="SQO21"/>
      <c r="SQP21"/>
      <c r="SQQ21"/>
      <c r="SQR21"/>
      <c r="SQS21"/>
      <c r="SQT21"/>
      <c r="SQU21"/>
      <c r="SQV21"/>
      <c r="SQW21"/>
      <c r="SQX21"/>
      <c r="SQY21"/>
      <c r="SQZ21"/>
      <c r="SRA21"/>
      <c r="SRB21"/>
      <c r="SRC21"/>
      <c r="SRD21"/>
      <c r="SRE21"/>
      <c r="SRF21"/>
      <c r="SRG21"/>
      <c r="SRH21"/>
      <c r="SRI21"/>
      <c r="SRJ21"/>
      <c r="SRK21"/>
      <c r="SRL21"/>
      <c r="SRM21"/>
      <c r="SRN21"/>
      <c r="SRO21"/>
      <c r="SRP21"/>
      <c r="SRQ21"/>
      <c r="SRR21"/>
      <c r="SRS21"/>
      <c r="SRT21"/>
      <c r="SRU21"/>
      <c r="SRV21"/>
      <c r="SRW21"/>
      <c r="SRX21"/>
      <c r="SRY21"/>
      <c r="SRZ21"/>
      <c r="SSA21"/>
      <c r="SSB21"/>
      <c r="SSC21"/>
      <c r="SSD21"/>
      <c r="SSE21"/>
      <c r="SSF21"/>
      <c r="SSG21"/>
      <c r="SSH21"/>
      <c r="SSI21"/>
      <c r="SSJ21"/>
      <c r="SSK21"/>
      <c r="SSL21"/>
      <c r="SSM21"/>
      <c r="SSN21"/>
      <c r="SSO21"/>
      <c r="SSP21"/>
      <c r="SSQ21"/>
      <c r="SSR21"/>
      <c r="SSS21"/>
      <c r="SST21"/>
      <c r="SSU21"/>
      <c r="SSV21"/>
      <c r="SSW21"/>
      <c r="SSX21"/>
      <c r="SSY21"/>
      <c r="SSZ21"/>
      <c r="STA21"/>
      <c r="STB21"/>
      <c r="STC21"/>
      <c r="STD21"/>
      <c r="STE21"/>
      <c r="STF21"/>
      <c r="STG21"/>
      <c r="STH21"/>
      <c r="STI21"/>
      <c r="STJ21"/>
      <c r="STK21"/>
      <c r="STL21"/>
      <c r="STM21"/>
      <c r="STN21"/>
      <c r="STO21"/>
      <c r="STP21"/>
      <c r="STQ21"/>
      <c r="STR21"/>
      <c r="STS21"/>
      <c r="STT21"/>
      <c r="STU21"/>
      <c r="STV21"/>
      <c r="STW21"/>
      <c r="STX21"/>
      <c r="STY21"/>
      <c r="STZ21"/>
      <c r="SUA21"/>
      <c r="SUB21"/>
      <c r="SUC21"/>
      <c r="SUD21"/>
      <c r="SUE21"/>
      <c r="SUF21"/>
      <c r="SUG21"/>
      <c r="SUH21"/>
      <c r="SUI21"/>
      <c r="SUJ21"/>
      <c r="SUK21"/>
      <c r="SUL21"/>
      <c r="SUM21"/>
      <c r="SUN21"/>
      <c r="SUO21"/>
      <c r="SUP21"/>
      <c r="SUQ21"/>
      <c r="SUR21"/>
      <c r="SUS21"/>
      <c r="SUT21"/>
      <c r="SUU21"/>
      <c r="SUV21"/>
      <c r="SUW21"/>
      <c r="SUX21"/>
      <c r="SUY21"/>
      <c r="SUZ21"/>
      <c r="SVA21"/>
      <c r="SVB21"/>
      <c r="SVC21"/>
      <c r="SVD21"/>
      <c r="SVE21"/>
      <c r="SVF21"/>
      <c r="SVG21"/>
      <c r="SVH21"/>
      <c r="SVI21"/>
      <c r="SVJ21"/>
      <c r="SVK21"/>
      <c r="SVL21"/>
      <c r="SVM21"/>
      <c r="SVN21"/>
      <c r="SVO21"/>
      <c r="SVP21"/>
      <c r="SVQ21"/>
      <c r="SVR21"/>
      <c r="SVS21"/>
      <c r="SVT21"/>
      <c r="SVU21"/>
      <c r="SVV21"/>
      <c r="SVW21"/>
      <c r="SVX21"/>
      <c r="SVY21"/>
      <c r="SVZ21"/>
      <c r="SWA21"/>
      <c r="SWB21"/>
      <c r="SWC21"/>
      <c r="SWD21"/>
      <c r="SWE21"/>
      <c r="SWF21"/>
      <c r="SWG21"/>
      <c r="SWH21"/>
      <c r="SWI21"/>
      <c r="SWJ21"/>
      <c r="SWK21"/>
      <c r="SWL21"/>
      <c r="SWM21"/>
      <c r="SWN21"/>
      <c r="SWO21"/>
      <c r="SWP21"/>
      <c r="SWQ21"/>
      <c r="SWR21"/>
      <c r="SWS21"/>
      <c r="SWT21"/>
      <c r="SWU21"/>
      <c r="SWV21"/>
      <c r="SWW21"/>
      <c r="SWX21"/>
      <c r="SWY21"/>
      <c r="SWZ21"/>
      <c r="SXA21"/>
      <c r="SXB21"/>
      <c r="SXC21"/>
      <c r="SXD21"/>
      <c r="SXE21"/>
      <c r="SXF21"/>
      <c r="SXG21"/>
      <c r="SXH21"/>
      <c r="SXI21"/>
      <c r="SXJ21"/>
      <c r="SXK21"/>
      <c r="SXL21"/>
      <c r="SXM21"/>
      <c r="SXN21"/>
      <c r="SXO21"/>
      <c r="SXP21"/>
      <c r="SXQ21"/>
      <c r="SXR21"/>
      <c r="SXS21"/>
      <c r="SXT21"/>
      <c r="SXU21"/>
      <c r="SXV21"/>
      <c r="SXW21"/>
      <c r="SXX21"/>
      <c r="SXY21"/>
      <c r="SXZ21"/>
      <c r="SYA21"/>
      <c r="SYB21"/>
      <c r="SYC21"/>
      <c r="SYD21"/>
      <c r="SYE21"/>
      <c r="SYF21"/>
      <c r="SYG21"/>
      <c r="SYH21"/>
      <c r="SYI21"/>
      <c r="SYJ21"/>
      <c r="SYK21"/>
      <c r="SYL21"/>
      <c r="SYM21"/>
      <c r="SYN21"/>
      <c r="SYO21"/>
      <c r="SYP21"/>
      <c r="SYQ21"/>
      <c r="SYR21"/>
      <c r="SYS21"/>
      <c r="SYT21"/>
      <c r="SYU21"/>
      <c r="SYV21"/>
      <c r="SYW21"/>
      <c r="SYX21"/>
      <c r="SYY21"/>
      <c r="SYZ21"/>
      <c r="SZA21"/>
      <c r="SZB21"/>
      <c r="SZC21"/>
      <c r="SZD21"/>
      <c r="SZE21"/>
      <c r="SZF21"/>
      <c r="SZG21"/>
      <c r="SZH21"/>
      <c r="SZI21"/>
      <c r="SZJ21"/>
      <c r="SZK21"/>
      <c r="SZL21"/>
      <c r="SZM21"/>
      <c r="SZN21"/>
      <c r="SZO21"/>
      <c r="SZP21"/>
      <c r="SZQ21"/>
      <c r="SZR21"/>
      <c r="SZS21"/>
      <c r="SZT21"/>
      <c r="SZU21"/>
      <c r="SZV21"/>
      <c r="SZW21"/>
      <c r="SZX21"/>
      <c r="SZY21"/>
      <c r="SZZ21"/>
      <c r="TAA21"/>
      <c r="TAB21"/>
      <c r="TAC21"/>
      <c r="TAD21"/>
      <c r="TAE21"/>
      <c r="TAF21"/>
      <c r="TAG21"/>
      <c r="TAH21"/>
      <c r="TAI21"/>
      <c r="TAJ21"/>
      <c r="TAK21"/>
      <c r="TAL21"/>
      <c r="TAM21"/>
      <c r="TAN21"/>
      <c r="TAO21"/>
      <c r="TAP21"/>
      <c r="TAQ21"/>
      <c r="TAR21"/>
      <c r="TAS21"/>
      <c r="TAT21"/>
      <c r="TAU21"/>
      <c r="TAV21"/>
      <c r="TAW21"/>
      <c r="TAX21"/>
      <c r="TAY21"/>
      <c r="TAZ21"/>
      <c r="TBA21"/>
      <c r="TBB21"/>
      <c r="TBC21"/>
      <c r="TBD21"/>
      <c r="TBE21"/>
      <c r="TBF21"/>
      <c r="TBG21"/>
      <c r="TBH21"/>
      <c r="TBI21"/>
      <c r="TBJ21"/>
      <c r="TBK21"/>
      <c r="TBL21"/>
      <c r="TBM21"/>
      <c r="TBN21"/>
      <c r="TBO21"/>
      <c r="TBP21"/>
      <c r="TBQ21"/>
      <c r="TBR21"/>
      <c r="TBS21"/>
      <c r="TBT21"/>
      <c r="TBU21"/>
      <c r="TBV21"/>
      <c r="TBW21"/>
      <c r="TBX21"/>
      <c r="TBY21"/>
      <c r="TBZ21"/>
      <c r="TCA21"/>
      <c r="TCB21"/>
      <c r="TCC21"/>
      <c r="TCD21"/>
      <c r="TCE21"/>
      <c r="TCF21"/>
      <c r="TCG21"/>
      <c r="TCH21"/>
      <c r="TCI21"/>
      <c r="TCJ21"/>
      <c r="TCK21"/>
      <c r="TCL21"/>
      <c r="TCM21"/>
      <c r="TCN21"/>
      <c r="TCO21"/>
      <c r="TCP21"/>
      <c r="TCQ21"/>
      <c r="TCR21"/>
      <c r="TCS21"/>
      <c r="TCT21"/>
      <c r="TCU21"/>
      <c r="TCV21"/>
      <c r="TCW21"/>
      <c r="TCX21"/>
      <c r="TCY21"/>
      <c r="TCZ21"/>
      <c r="TDA21"/>
      <c r="TDB21"/>
      <c r="TDC21"/>
      <c r="TDD21"/>
      <c r="TDE21"/>
      <c r="TDF21"/>
      <c r="TDG21"/>
      <c r="TDH21"/>
      <c r="TDI21"/>
      <c r="TDJ21"/>
      <c r="TDK21"/>
      <c r="TDL21"/>
      <c r="TDM21"/>
      <c r="TDN21"/>
      <c r="TDO21"/>
      <c r="TDP21"/>
      <c r="TDQ21"/>
      <c r="TDR21"/>
      <c r="TDS21"/>
      <c r="TDT21"/>
      <c r="TDU21"/>
      <c r="TDV21"/>
      <c r="TDW21"/>
      <c r="TDX21"/>
      <c r="TDY21"/>
      <c r="TDZ21"/>
      <c r="TEA21"/>
      <c r="TEB21"/>
      <c r="TEC21"/>
      <c r="TED21"/>
      <c r="TEE21"/>
      <c r="TEF21"/>
      <c r="TEG21"/>
      <c r="TEH21"/>
      <c r="TEI21"/>
      <c r="TEJ21"/>
      <c r="TEK21"/>
      <c r="TEL21"/>
      <c r="TEM21"/>
      <c r="TEN21"/>
      <c r="TEO21"/>
      <c r="TEP21"/>
      <c r="TEQ21"/>
      <c r="TER21"/>
      <c r="TES21"/>
      <c r="TET21"/>
      <c r="TEU21"/>
      <c r="TEV21"/>
      <c r="TEW21"/>
      <c r="TEX21"/>
      <c r="TEY21"/>
      <c r="TEZ21"/>
      <c r="TFA21"/>
      <c r="TFB21"/>
      <c r="TFC21"/>
      <c r="TFD21"/>
      <c r="TFE21"/>
      <c r="TFF21"/>
      <c r="TFG21"/>
      <c r="TFH21"/>
      <c r="TFI21"/>
      <c r="TFJ21"/>
      <c r="TFK21"/>
      <c r="TFL21"/>
      <c r="TFM21"/>
      <c r="TFN21"/>
      <c r="TFO21"/>
      <c r="TFP21"/>
      <c r="TFQ21"/>
      <c r="TFR21"/>
      <c r="TFS21"/>
      <c r="TFT21"/>
      <c r="TFU21"/>
      <c r="TFV21"/>
      <c r="TFW21"/>
      <c r="TFX21"/>
      <c r="TFY21"/>
      <c r="TFZ21"/>
      <c r="TGA21"/>
      <c r="TGB21"/>
      <c r="TGC21"/>
      <c r="TGD21"/>
      <c r="TGE21"/>
      <c r="TGF21"/>
      <c r="TGG21"/>
      <c r="TGH21"/>
      <c r="TGI21"/>
      <c r="TGJ21"/>
      <c r="TGK21"/>
      <c r="TGL21"/>
      <c r="TGM21"/>
      <c r="TGN21"/>
      <c r="TGO21"/>
      <c r="TGP21"/>
      <c r="TGQ21"/>
      <c r="TGR21"/>
      <c r="TGS21"/>
      <c r="TGT21"/>
      <c r="TGU21"/>
      <c r="TGV21"/>
      <c r="TGW21"/>
      <c r="TGX21"/>
      <c r="TGY21"/>
      <c r="TGZ21"/>
      <c r="THA21"/>
      <c r="THB21"/>
      <c r="THC21"/>
      <c r="THD21"/>
      <c r="THE21"/>
      <c r="THF21"/>
      <c r="THG21"/>
      <c r="THH21"/>
      <c r="THI21"/>
      <c r="THJ21"/>
      <c r="THK21"/>
      <c r="THL21"/>
      <c r="THM21"/>
      <c r="THN21"/>
      <c r="THO21"/>
      <c r="THP21"/>
      <c r="THQ21"/>
      <c r="THR21"/>
      <c r="THS21"/>
      <c r="THT21"/>
      <c r="THU21"/>
      <c r="THV21"/>
      <c r="THW21"/>
      <c r="THX21"/>
      <c r="THY21"/>
      <c r="THZ21"/>
      <c r="TIA21"/>
      <c r="TIB21"/>
      <c r="TIC21"/>
      <c r="TID21"/>
      <c r="TIE21"/>
      <c r="TIF21"/>
      <c r="TIG21"/>
      <c r="TIH21"/>
      <c r="TII21"/>
      <c r="TIJ21"/>
      <c r="TIK21"/>
      <c r="TIL21"/>
      <c r="TIM21"/>
      <c r="TIN21"/>
      <c r="TIO21"/>
      <c r="TIP21"/>
      <c r="TIQ21"/>
      <c r="TIR21"/>
      <c r="TIS21"/>
      <c r="TIT21"/>
      <c r="TIU21"/>
      <c r="TIV21"/>
      <c r="TIW21"/>
      <c r="TIX21"/>
      <c r="TIY21"/>
      <c r="TIZ21"/>
      <c r="TJA21"/>
      <c r="TJB21"/>
      <c r="TJC21"/>
      <c r="TJD21"/>
      <c r="TJE21"/>
      <c r="TJF21"/>
      <c r="TJG21"/>
      <c r="TJH21"/>
      <c r="TJI21"/>
      <c r="TJJ21"/>
      <c r="TJK21"/>
      <c r="TJL21"/>
      <c r="TJM21"/>
      <c r="TJN21"/>
      <c r="TJO21"/>
      <c r="TJP21"/>
      <c r="TJQ21"/>
      <c r="TJR21"/>
      <c r="TJS21"/>
      <c r="TJT21"/>
      <c r="TJU21"/>
      <c r="TJV21"/>
      <c r="TJW21"/>
      <c r="TJX21"/>
      <c r="TJY21"/>
      <c r="TJZ21"/>
      <c r="TKA21"/>
      <c r="TKB21"/>
      <c r="TKC21"/>
      <c r="TKD21"/>
      <c r="TKE21"/>
      <c r="TKF21"/>
      <c r="TKG21"/>
      <c r="TKH21"/>
      <c r="TKI21"/>
      <c r="TKJ21"/>
      <c r="TKK21"/>
      <c r="TKL21"/>
      <c r="TKM21"/>
      <c r="TKN21"/>
      <c r="TKO21"/>
      <c r="TKP21"/>
      <c r="TKQ21"/>
      <c r="TKR21"/>
      <c r="TKS21"/>
      <c r="TKT21"/>
      <c r="TKU21"/>
      <c r="TKV21"/>
      <c r="TKW21"/>
      <c r="TKX21"/>
      <c r="TKY21"/>
      <c r="TKZ21"/>
      <c r="TLA21"/>
      <c r="TLB21"/>
      <c r="TLC21"/>
      <c r="TLD21"/>
      <c r="TLE21"/>
      <c r="TLF21"/>
      <c r="TLG21"/>
      <c r="TLH21"/>
      <c r="TLI21"/>
      <c r="TLJ21"/>
      <c r="TLK21"/>
      <c r="TLL21"/>
      <c r="TLM21"/>
      <c r="TLN21"/>
      <c r="TLO21"/>
      <c r="TLP21"/>
      <c r="TLQ21"/>
      <c r="TLR21"/>
      <c r="TLS21"/>
      <c r="TLT21"/>
      <c r="TLU21"/>
      <c r="TLV21"/>
      <c r="TLW21"/>
      <c r="TLX21"/>
      <c r="TLY21"/>
      <c r="TLZ21"/>
      <c r="TMA21"/>
      <c r="TMB21"/>
      <c r="TMC21"/>
      <c r="TMD21"/>
      <c r="TME21"/>
      <c r="TMF21"/>
      <c r="TMG21"/>
      <c r="TMH21"/>
      <c r="TMI21"/>
      <c r="TMJ21"/>
      <c r="TMK21"/>
      <c r="TML21"/>
      <c r="TMM21"/>
      <c r="TMN21"/>
      <c r="TMO21"/>
      <c r="TMP21"/>
      <c r="TMQ21"/>
      <c r="TMR21"/>
      <c r="TMS21"/>
      <c r="TMT21"/>
      <c r="TMU21"/>
      <c r="TMV21"/>
      <c r="TMW21"/>
      <c r="TMX21"/>
      <c r="TMY21"/>
      <c r="TMZ21"/>
      <c r="TNA21"/>
      <c r="TNB21"/>
      <c r="TNC21"/>
      <c r="TND21"/>
      <c r="TNE21"/>
      <c r="TNF21"/>
      <c r="TNG21"/>
      <c r="TNH21"/>
      <c r="TNI21"/>
      <c r="TNJ21"/>
      <c r="TNK21"/>
      <c r="TNL21"/>
      <c r="TNM21"/>
      <c r="TNN21"/>
      <c r="TNO21"/>
      <c r="TNP21"/>
      <c r="TNQ21"/>
      <c r="TNR21"/>
      <c r="TNS21"/>
      <c r="TNT21"/>
      <c r="TNU21"/>
      <c r="TNV21"/>
      <c r="TNW21"/>
      <c r="TNX21"/>
      <c r="TNY21"/>
      <c r="TNZ21"/>
      <c r="TOA21"/>
      <c r="TOB21"/>
      <c r="TOC21"/>
      <c r="TOD21"/>
      <c r="TOE21"/>
      <c r="TOF21"/>
      <c r="TOG21"/>
      <c r="TOH21"/>
      <c r="TOI21"/>
      <c r="TOJ21"/>
      <c r="TOK21"/>
      <c r="TOL21"/>
      <c r="TOM21"/>
      <c r="TON21"/>
      <c r="TOO21"/>
      <c r="TOP21"/>
      <c r="TOQ21"/>
      <c r="TOR21"/>
      <c r="TOS21"/>
      <c r="TOT21"/>
      <c r="TOU21"/>
      <c r="TOV21"/>
      <c r="TOW21"/>
      <c r="TOX21"/>
      <c r="TOY21"/>
      <c r="TOZ21"/>
      <c r="TPA21"/>
      <c r="TPB21"/>
      <c r="TPC21"/>
      <c r="TPD21"/>
      <c r="TPE21"/>
      <c r="TPF21"/>
      <c r="TPG21"/>
      <c r="TPH21"/>
      <c r="TPI21"/>
      <c r="TPJ21"/>
      <c r="TPK21"/>
      <c r="TPL21"/>
      <c r="TPM21"/>
      <c r="TPN21"/>
      <c r="TPO21"/>
      <c r="TPP21"/>
      <c r="TPQ21"/>
      <c r="TPR21"/>
      <c r="TPS21"/>
      <c r="TPT21"/>
      <c r="TPU21"/>
      <c r="TPV21"/>
      <c r="TPW21"/>
      <c r="TPX21"/>
      <c r="TPY21"/>
      <c r="TPZ21"/>
      <c r="TQA21"/>
      <c r="TQB21"/>
      <c r="TQC21"/>
      <c r="TQD21"/>
      <c r="TQE21"/>
      <c r="TQF21"/>
      <c r="TQG21"/>
      <c r="TQH21"/>
      <c r="TQI21"/>
      <c r="TQJ21"/>
      <c r="TQK21"/>
      <c r="TQL21"/>
      <c r="TQM21"/>
      <c r="TQN21"/>
      <c r="TQO21"/>
      <c r="TQP21"/>
      <c r="TQQ21"/>
      <c r="TQR21"/>
      <c r="TQS21"/>
      <c r="TQT21"/>
      <c r="TQU21"/>
      <c r="TQV21"/>
      <c r="TQW21"/>
      <c r="TQX21"/>
      <c r="TQY21"/>
      <c r="TQZ21"/>
      <c r="TRA21"/>
      <c r="TRB21"/>
      <c r="TRC21"/>
      <c r="TRD21"/>
      <c r="TRE21"/>
      <c r="TRF21"/>
      <c r="TRG21"/>
      <c r="TRH21"/>
      <c r="TRI21"/>
      <c r="TRJ21"/>
      <c r="TRK21"/>
      <c r="TRL21"/>
      <c r="TRM21"/>
      <c r="TRN21"/>
      <c r="TRO21"/>
      <c r="TRP21"/>
      <c r="TRQ21"/>
      <c r="TRR21"/>
      <c r="TRS21"/>
      <c r="TRT21"/>
      <c r="TRU21"/>
      <c r="TRV21"/>
      <c r="TRW21"/>
      <c r="TRX21"/>
      <c r="TRY21"/>
      <c r="TRZ21"/>
      <c r="TSA21"/>
      <c r="TSB21"/>
      <c r="TSC21"/>
      <c r="TSD21"/>
      <c r="TSE21"/>
      <c r="TSF21"/>
      <c r="TSG21"/>
      <c r="TSH21"/>
      <c r="TSI21"/>
      <c r="TSJ21"/>
      <c r="TSK21"/>
      <c r="TSL21"/>
      <c r="TSM21"/>
      <c r="TSN21"/>
      <c r="TSO21"/>
      <c r="TSP21"/>
      <c r="TSQ21"/>
      <c r="TSR21"/>
      <c r="TSS21"/>
      <c r="TST21"/>
      <c r="TSU21"/>
      <c r="TSV21"/>
      <c r="TSW21"/>
      <c r="TSX21"/>
      <c r="TSY21"/>
      <c r="TSZ21"/>
      <c r="TTA21"/>
      <c r="TTB21"/>
      <c r="TTC21"/>
      <c r="TTD21"/>
      <c r="TTE21"/>
      <c r="TTF21"/>
      <c r="TTG21"/>
      <c r="TTH21"/>
      <c r="TTI21"/>
      <c r="TTJ21"/>
      <c r="TTK21"/>
      <c r="TTL21"/>
      <c r="TTM21"/>
      <c r="TTN21"/>
      <c r="TTO21"/>
      <c r="TTP21"/>
      <c r="TTQ21"/>
      <c r="TTR21"/>
      <c r="TTS21"/>
      <c r="TTT21"/>
      <c r="TTU21"/>
      <c r="TTV21"/>
      <c r="TTW21"/>
      <c r="TTX21"/>
      <c r="TTY21"/>
      <c r="TTZ21"/>
      <c r="TUA21"/>
      <c r="TUB21"/>
      <c r="TUC21"/>
      <c r="TUD21"/>
      <c r="TUE21"/>
      <c r="TUF21"/>
      <c r="TUG21"/>
      <c r="TUH21"/>
      <c r="TUI21"/>
      <c r="TUJ21"/>
      <c r="TUK21"/>
      <c r="TUL21"/>
      <c r="TUM21"/>
      <c r="TUN21"/>
      <c r="TUO21"/>
      <c r="TUP21"/>
      <c r="TUQ21"/>
      <c r="TUR21"/>
      <c r="TUS21"/>
      <c r="TUT21"/>
      <c r="TUU21"/>
      <c r="TUV21"/>
      <c r="TUW21"/>
      <c r="TUX21"/>
      <c r="TUY21"/>
      <c r="TUZ21"/>
      <c r="TVA21"/>
      <c r="TVB21"/>
      <c r="TVC21"/>
      <c r="TVD21"/>
      <c r="TVE21"/>
      <c r="TVF21"/>
      <c r="TVG21"/>
      <c r="TVH21"/>
      <c r="TVI21"/>
      <c r="TVJ21"/>
      <c r="TVK21"/>
      <c r="TVL21"/>
      <c r="TVM21"/>
      <c r="TVN21"/>
      <c r="TVO21"/>
      <c r="TVP21"/>
      <c r="TVQ21"/>
      <c r="TVR21"/>
      <c r="TVS21"/>
      <c r="TVT21"/>
      <c r="TVU21"/>
      <c r="TVV21"/>
      <c r="TVW21"/>
      <c r="TVX21"/>
      <c r="TVY21"/>
      <c r="TVZ21"/>
      <c r="TWA21"/>
      <c r="TWB21"/>
      <c r="TWC21"/>
      <c r="TWD21"/>
      <c r="TWE21"/>
      <c r="TWF21"/>
      <c r="TWG21"/>
      <c r="TWH21"/>
      <c r="TWI21"/>
      <c r="TWJ21"/>
      <c r="TWK21"/>
      <c r="TWL21"/>
      <c r="TWM21"/>
      <c r="TWN21"/>
      <c r="TWO21"/>
      <c r="TWP21"/>
      <c r="TWQ21"/>
      <c r="TWR21"/>
      <c r="TWS21"/>
      <c r="TWT21"/>
      <c r="TWU21"/>
      <c r="TWV21"/>
      <c r="TWW21"/>
      <c r="TWX21"/>
      <c r="TWY21"/>
      <c r="TWZ21"/>
      <c r="TXA21"/>
      <c r="TXB21"/>
      <c r="TXC21"/>
      <c r="TXD21"/>
      <c r="TXE21"/>
      <c r="TXF21"/>
      <c r="TXG21"/>
      <c r="TXH21"/>
      <c r="TXI21"/>
      <c r="TXJ21"/>
      <c r="TXK21"/>
      <c r="TXL21"/>
      <c r="TXM21"/>
      <c r="TXN21"/>
      <c r="TXO21"/>
      <c r="TXP21"/>
      <c r="TXQ21"/>
      <c r="TXR21"/>
      <c r="TXS21"/>
      <c r="TXT21"/>
      <c r="TXU21"/>
      <c r="TXV21"/>
      <c r="TXW21"/>
      <c r="TXX21"/>
      <c r="TXY21"/>
      <c r="TXZ21"/>
      <c r="TYA21"/>
      <c r="TYB21"/>
      <c r="TYC21"/>
      <c r="TYD21"/>
      <c r="TYE21"/>
      <c r="TYF21"/>
      <c r="TYG21"/>
      <c r="TYH21"/>
      <c r="TYI21"/>
      <c r="TYJ21"/>
      <c r="TYK21"/>
      <c r="TYL21"/>
      <c r="TYM21"/>
      <c r="TYN21"/>
      <c r="TYO21"/>
      <c r="TYP21"/>
      <c r="TYQ21"/>
      <c r="TYR21"/>
      <c r="TYS21"/>
      <c r="TYT21"/>
      <c r="TYU21"/>
      <c r="TYV21"/>
      <c r="TYW21"/>
      <c r="TYX21"/>
      <c r="TYY21"/>
      <c r="TYZ21"/>
      <c r="TZA21"/>
      <c r="TZB21"/>
      <c r="TZC21"/>
      <c r="TZD21"/>
      <c r="TZE21"/>
      <c r="TZF21"/>
      <c r="TZG21"/>
      <c r="TZH21"/>
      <c r="TZI21"/>
      <c r="TZJ21"/>
      <c r="TZK21"/>
      <c r="TZL21"/>
      <c r="TZM21"/>
      <c r="TZN21"/>
      <c r="TZO21"/>
      <c r="TZP21"/>
      <c r="TZQ21"/>
      <c r="TZR21"/>
      <c r="TZS21"/>
      <c r="TZT21"/>
      <c r="TZU21"/>
      <c r="TZV21"/>
      <c r="TZW21"/>
      <c r="TZX21"/>
      <c r="TZY21"/>
      <c r="TZZ21"/>
      <c r="UAA21"/>
      <c r="UAB21"/>
      <c r="UAC21"/>
      <c r="UAD21"/>
      <c r="UAE21"/>
      <c r="UAF21"/>
      <c r="UAG21"/>
      <c r="UAH21"/>
      <c r="UAI21"/>
      <c r="UAJ21"/>
      <c r="UAK21"/>
      <c r="UAL21"/>
      <c r="UAM21"/>
      <c r="UAN21"/>
      <c r="UAO21"/>
      <c r="UAP21"/>
      <c r="UAQ21"/>
      <c r="UAR21"/>
      <c r="UAS21"/>
      <c r="UAT21"/>
      <c r="UAU21"/>
      <c r="UAV21"/>
      <c r="UAW21"/>
      <c r="UAX21"/>
      <c r="UAY21"/>
      <c r="UAZ21"/>
      <c r="UBA21"/>
      <c r="UBB21"/>
      <c r="UBC21"/>
      <c r="UBD21"/>
      <c r="UBE21"/>
      <c r="UBF21"/>
      <c r="UBG21"/>
      <c r="UBH21"/>
      <c r="UBI21"/>
      <c r="UBJ21"/>
      <c r="UBK21"/>
      <c r="UBL21"/>
      <c r="UBM21"/>
      <c r="UBN21"/>
      <c r="UBO21"/>
      <c r="UBP21"/>
      <c r="UBQ21"/>
      <c r="UBR21"/>
      <c r="UBS21"/>
      <c r="UBT21"/>
      <c r="UBU21"/>
      <c r="UBV21"/>
      <c r="UBW21"/>
      <c r="UBX21"/>
      <c r="UBY21"/>
      <c r="UBZ21"/>
      <c r="UCA21"/>
      <c r="UCB21"/>
      <c r="UCC21"/>
      <c r="UCD21"/>
      <c r="UCE21"/>
      <c r="UCF21"/>
      <c r="UCG21"/>
      <c r="UCH21"/>
      <c r="UCI21"/>
      <c r="UCJ21"/>
      <c r="UCK21"/>
      <c r="UCL21"/>
      <c r="UCM21"/>
      <c r="UCN21"/>
      <c r="UCO21"/>
      <c r="UCP21"/>
      <c r="UCQ21"/>
      <c r="UCR21"/>
      <c r="UCS21"/>
      <c r="UCT21"/>
      <c r="UCU21"/>
      <c r="UCV21"/>
      <c r="UCW21"/>
      <c r="UCX21"/>
      <c r="UCY21"/>
      <c r="UCZ21"/>
      <c r="UDA21"/>
      <c r="UDB21"/>
      <c r="UDC21"/>
      <c r="UDD21"/>
      <c r="UDE21"/>
      <c r="UDF21"/>
      <c r="UDG21"/>
      <c r="UDH21"/>
      <c r="UDI21"/>
      <c r="UDJ21"/>
      <c r="UDK21"/>
      <c r="UDL21"/>
      <c r="UDM21"/>
      <c r="UDN21"/>
      <c r="UDO21"/>
      <c r="UDP21"/>
      <c r="UDQ21"/>
      <c r="UDR21"/>
      <c r="UDS21"/>
      <c r="UDT21"/>
      <c r="UDU21"/>
      <c r="UDV21"/>
      <c r="UDW21"/>
      <c r="UDX21"/>
      <c r="UDY21"/>
      <c r="UDZ21"/>
      <c r="UEA21"/>
      <c r="UEB21"/>
      <c r="UEC21"/>
      <c r="UED21"/>
      <c r="UEE21"/>
      <c r="UEF21"/>
      <c r="UEG21"/>
      <c r="UEH21"/>
      <c r="UEI21"/>
      <c r="UEJ21"/>
      <c r="UEK21"/>
      <c r="UEL21"/>
      <c r="UEM21"/>
      <c r="UEN21"/>
      <c r="UEO21"/>
      <c r="UEP21"/>
      <c r="UEQ21"/>
      <c r="UER21"/>
      <c r="UES21"/>
      <c r="UET21"/>
      <c r="UEU21"/>
      <c r="UEV21"/>
      <c r="UEW21"/>
      <c r="UEX21"/>
      <c r="UEY21"/>
      <c r="UEZ21"/>
      <c r="UFA21"/>
      <c r="UFB21"/>
      <c r="UFC21"/>
      <c r="UFD21"/>
      <c r="UFE21"/>
      <c r="UFF21"/>
      <c r="UFG21"/>
      <c r="UFH21"/>
      <c r="UFI21"/>
      <c r="UFJ21"/>
      <c r="UFK21"/>
      <c r="UFL21"/>
      <c r="UFM21"/>
      <c r="UFN21"/>
      <c r="UFO21"/>
      <c r="UFP21"/>
      <c r="UFQ21"/>
      <c r="UFR21"/>
      <c r="UFS21"/>
      <c r="UFT21"/>
      <c r="UFU21"/>
      <c r="UFV21"/>
      <c r="UFW21"/>
      <c r="UFX21"/>
      <c r="UFY21"/>
      <c r="UFZ21"/>
      <c r="UGA21"/>
      <c r="UGB21"/>
      <c r="UGC21"/>
      <c r="UGD21"/>
      <c r="UGE21"/>
      <c r="UGF21"/>
      <c r="UGG21"/>
      <c r="UGH21"/>
      <c r="UGI21"/>
      <c r="UGJ21"/>
      <c r="UGK21"/>
      <c r="UGL21"/>
      <c r="UGM21"/>
      <c r="UGN21"/>
      <c r="UGO21"/>
      <c r="UGP21"/>
      <c r="UGQ21"/>
      <c r="UGR21"/>
      <c r="UGS21"/>
      <c r="UGT21"/>
      <c r="UGU21"/>
      <c r="UGV21"/>
      <c r="UGW21"/>
      <c r="UGX21"/>
      <c r="UGY21"/>
      <c r="UGZ21"/>
      <c r="UHA21"/>
      <c r="UHB21"/>
      <c r="UHC21"/>
      <c r="UHD21"/>
      <c r="UHE21"/>
      <c r="UHF21"/>
      <c r="UHG21"/>
      <c r="UHH21"/>
      <c r="UHI21"/>
      <c r="UHJ21"/>
      <c r="UHK21"/>
      <c r="UHL21"/>
      <c r="UHM21"/>
      <c r="UHN21"/>
      <c r="UHO21"/>
      <c r="UHP21"/>
      <c r="UHQ21"/>
      <c r="UHR21"/>
      <c r="UHS21"/>
      <c r="UHT21"/>
      <c r="UHU21"/>
      <c r="UHV21"/>
      <c r="UHW21"/>
      <c r="UHX21"/>
      <c r="UHY21"/>
      <c r="UHZ21"/>
      <c r="UIA21"/>
      <c r="UIB21"/>
      <c r="UIC21"/>
      <c r="UID21"/>
      <c r="UIE21"/>
      <c r="UIF21"/>
      <c r="UIG21"/>
      <c r="UIH21"/>
      <c r="UII21"/>
      <c r="UIJ21"/>
      <c r="UIK21"/>
      <c r="UIL21"/>
      <c r="UIM21"/>
      <c r="UIN21"/>
      <c r="UIO21"/>
      <c r="UIP21"/>
      <c r="UIQ21"/>
      <c r="UIR21"/>
      <c r="UIS21"/>
      <c r="UIT21"/>
      <c r="UIU21"/>
      <c r="UIV21"/>
      <c r="UIW21"/>
      <c r="UIX21"/>
      <c r="UIY21"/>
      <c r="UIZ21"/>
      <c r="UJA21"/>
      <c r="UJB21"/>
      <c r="UJC21"/>
      <c r="UJD21"/>
      <c r="UJE21"/>
      <c r="UJF21"/>
      <c r="UJG21"/>
      <c r="UJH21"/>
      <c r="UJI21"/>
      <c r="UJJ21"/>
      <c r="UJK21"/>
      <c r="UJL21"/>
      <c r="UJM21"/>
      <c r="UJN21"/>
      <c r="UJO21"/>
      <c r="UJP21"/>
      <c r="UJQ21"/>
      <c r="UJR21"/>
      <c r="UJS21"/>
      <c r="UJT21"/>
      <c r="UJU21"/>
      <c r="UJV21"/>
      <c r="UJW21"/>
      <c r="UJX21"/>
      <c r="UJY21"/>
      <c r="UJZ21"/>
      <c r="UKA21"/>
      <c r="UKB21"/>
      <c r="UKC21"/>
      <c r="UKD21"/>
      <c r="UKE21"/>
      <c r="UKF21"/>
      <c r="UKG21"/>
      <c r="UKH21"/>
      <c r="UKI21"/>
      <c r="UKJ21"/>
      <c r="UKK21"/>
      <c r="UKL21"/>
      <c r="UKM21"/>
      <c r="UKN21"/>
      <c r="UKO21"/>
      <c r="UKP21"/>
      <c r="UKQ21"/>
      <c r="UKR21"/>
      <c r="UKS21"/>
      <c r="UKT21"/>
      <c r="UKU21"/>
      <c r="UKV21"/>
      <c r="UKW21"/>
      <c r="UKX21"/>
      <c r="UKY21"/>
      <c r="UKZ21"/>
      <c r="ULA21"/>
      <c r="ULB21"/>
      <c r="ULC21"/>
      <c r="ULD21"/>
      <c r="ULE21"/>
      <c r="ULF21"/>
      <c r="ULG21"/>
      <c r="ULH21"/>
      <c r="ULI21"/>
      <c r="ULJ21"/>
      <c r="ULK21"/>
      <c r="ULL21"/>
      <c r="ULM21"/>
      <c r="ULN21"/>
      <c r="ULO21"/>
      <c r="ULP21"/>
      <c r="ULQ21"/>
      <c r="ULR21"/>
      <c r="ULS21"/>
      <c r="ULT21"/>
      <c r="ULU21"/>
      <c r="ULV21"/>
      <c r="ULW21"/>
      <c r="ULX21"/>
      <c r="ULY21"/>
      <c r="ULZ21"/>
      <c r="UMA21"/>
      <c r="UMB21"/>
      <c r="UMC21"/>
      <c r="UMD21"/>
      <c r="UME21"/>
      <c r="UMF21"/>
      <c r="UMG21"/>
      <c r="UMH21"/>
      <c r="UMI21"/>
      <c r="UMJ21"/>
      <c r="UMK21"/>
      <c r="UML21"/>
      <c r="UMM21"/>
      <c r="UMN21"/>
      <c r="UMO21"/>
      <c r="UMP21"/>
      <c r="UMQ21"/>
      <c r="UMR21"/>
      <c r="UMS21"/>
      <c r="UMT21"/>
      <c r="UMU21"/>
      <c r="UMV21"/>
      <c r="UMW21"/>
      <c r="UMX21"/>
      <c r="UMY21"/>
      <c r="UMZ21"/>
      <c r="UNA21"/>
      <c r="UNB21"/>
      <c r="UNC21"/>
      <c r="UND21"/>
      <c r="UNE21"/>
      <c r="UNF21"/>
      <c r="UNG21"/>
      <c r="UNH21"/>
      <c r="UNI21"/>
      <c r="UNJ21"/>
      <c r="UNK21"/>
      <c r="UNL21"/>
      <c r="UNM21"/>
      <c r="UNN21"/>
      <c r="UNO21"/>
      <c r="UNP21"/>
      <c r="UNQ21"/>
      <c r="UNR21"/>
      <c r="UNS21"/>
      <c r="UNT21"/>
      <c r="UNU21"/>
      <c r="UNV21"/>
      <c r="UNW21"/>
      <c r="UNX21"/>
      <c r="UNY21"/>
      <c r="UNZ21"/>
      <c r="UOA21"/>
      <c r="UOB21"/>
      <c r="UOC21"/>
      <c r="UOD21"/>
      <c r="UOE21"/>
      <c r="UOF21"/>
      <c r="UOG21"/>
      <c r="UOH21"/>
      <c r="UOI21"/>
      <c r="UOJ21"/>
      <c r="UOK21"/>
      <c r="UOL21"/>
      <c r="UOM21"/>
      <c r="UON21"/>
      <c r="UOO21"/>
      <c r="UOP21"/>
      <c r="UOQ21"/>
      <c r="UOR21"/>
      <c r="UOS21"/>
      <c r="UOT21"/>
      <c r="UOU21"/>
      <c r="UOV21"/>
      <c r="UOW21"/>
      <c r="UOX21"/>
      <c r="UOY21"/>
      <c r="UOZ21"/>
      <c r="UPA21"/>
      <c r="UPB21"/>
      <c r="UPC21"/>
      <c r="UPD21"/>
      <c r="UPE21"/>
      <c r="UPF21"/>
      <c r="UPG21"/>
      <c r="UPH21"/>
      <c r="UPI21"/>
      <c r="UPJ21"/>
      <c r="UPK21"/>
      <c r="UPL21"/>
      <c r="UPM21"/>
      <c r="UPN21"/>
      <c r="UPO21"/>
      <c r="UPP21"/>
      <c r="UPQ21"/>
      <c r="UPR21"/>
      <c r="UPS21"/>
      <c r="UPT21"/>
      <c r="UPU21"/>
      <c r="UPV21"/>
      <c r="UPW21"/>
      <c r="UPX21"/>
      <c r="UPY21"/>
      <c r="UPZ21"/>
      <c r="UQA21"/>
      <c r="UQB21"/>
      <c r="UQC21"/>
      <c r="UQD21"/>
      <c r="UQE21"/>
      <c r="UQF21"/>
      <c r="UQG21"/>
      <c r="UQH21"/>
      <c r="UQI21"/>
      <c r="UQJ21"/>
      <c r="UQK21"/>
      <c r="UQL21"/>
      <c r="UQM21"/>
      <c r="UQN21"/>
      <c r="UQO21"/>
      <c r="UQP21"/>
      <c r="UQQ21"/>
      <c r="UQR21"/>
      <c r="UQS21"/>
      <c r="UQT21"/>
      <c r="UQU21"/>
      <c r="UQV21"/>
      <c r="UQW21"/>
      <c r="UQX21"/>
      <c r="UQY21"/>
      <c r="UQZ21"/>
      <c r="URA21"/>
      <c r="URB21"/>
      <c r="URC21"/>
      <c r="URD21"/>
      <c r="URE21"/>
      <c r="URF21"/>
      <c r="URG21"/>
      <c r="URH21"/>
      <c r="URI21"/>
      <c r="URJ21"/>
      <c r="URK21"/>
      <c r="URL21"/>
      <c r="URM21"/>
      <c r="URN21"/>
      <c r="URO21"/>
      <c r="URP21"/>
      <c r="URQ21"/>
      <c r="URR21"/>
      <c r="URS21"/>
      <c r="URT21"/>
      <c r="URU21"/>
      <c r="URV21"/>
      <c r="URW21"/>
      <c r="URX21"/>
      <c r="URY21"/>
      <c r="URZ21"/>
      <c r="USA21"/>
      <c r="USB21"/>
      <c r="USC21"/>
      <c r="USD21"/>
      <c r="USE21"/>
      <c r="USF21"/>
      <c r="USG21"/>
      <c r="USH21"/>
      <c r="USI21"/>
      <c r="USJ21"/>
      <c r="USK21"/>
      <c r="USL21"/>
      <c r="USM21"/>
      <c r="USN21"/>
      <c r="USO21"/>
      <c r="USP21"/>
      <c r="USQ21"/>
      <c r="USR21"/>
      <c r="USS21"/>
      <c r="UST21"/>
      <c r="USU21"/>
      <c r="USV21"/>
      <c r="USW21"/>
      <c r="USX21"/>
      <c r="USY21"/>
      <c r="USZ21"/>
      <c r="UTA21"/>
      <c r="UTB21"/>
      <c r="UTC21"/>
      <c r="UTD21"/>
      <c r="UTE21"/>
      <c r="UTF21"/>
      <c r="UTG21"/>
      <c r="UTH21"/>
      <c r="UTI21"/>
      <c r="UTJ21"/>
      <c r="UTK21"/>
      <c r="UTL21"/>
      <c r="UTM21"/>
      <c r="UTN21"/>
      <c r="UTO21"/>
      <c r="UTP21"/>
      <c r="UTQ21"/>
      <c r="UTR21"/>
      <c r="UTS21"/>
      <c r="UTT21"/>
      <c r="UTU21"/>
      <c r="UTV21"/>
      <c r="UTW21"/>
      <c r="UTX21"/>
      <c r="UTY21"/>
      <c r="UTZ21"/>
      <c r="UUA21"/>
      <c r="UUB21"/>
      <c r="UUC21"/>
      <c r="UUD21"/>
      <c r="UUE21"/>
      <c r="UUF21"/>
      <c r="UUG21"/>
      <c r="UUH21"/>
      <c r="UUI21"/>
      <c r="UUJ21"/>
      <c r="UUK21"/>
      <c r="UUL21"/>
      <c r="UUM21"/>
      <c r="UUN21"/>
      <c r="UUO21"/>
      <c r="UUP21"/>
      <c r="UUQ21"/>
      <c r="UUR21"/>
      <c r="UUS21"/>
      <c r="UUT21"/>
      <c r="UUU21"/>
      <c r="UUV21"/>
      <c r="UUW21"/>
      <c r="UUX21"/>
      <c r="UUY21"/>
      <c r="UUZ21"/>
      <c r="UVA21"/>
      <c r="UVB21"/>
      <c r="UVC21"/>
      <c r="UVD21"/>
      <c r="UVE21"/>
      <c r="UVF21"/>
      <c r="UVG21"/>
      <c r="UVH21"/>
      <c r="UVI21"/>
      <c r="UVJ21"/>
      <c r="UVK21"/>
      <c r="UVL21"/>
      <c r="UVM21"/>
      <c r="UVN21"/>
      <c r="UVO21"/>
      <c r="UVP21"/>
      <c r="UVQ21"/>
      <c r="UVR21"/>
      <c r="UVS21"/>
      <c r="UVT21"/>
      <c r="UVU21"/>
      <c r="UVV21"/>
      <c r="UVW21"/>
      <c r="UVX21"/>
      <c r="UVY21"/>
      <c r="UVZ21"/>
      <c r="UWA21"/>
      <c r="UWB21"/>
      <c r="UWC21"/>
      <c r="UWD21"/>
      <c r="UWE21"/>
      <c r="UWF21"/>
      <c r="UWG21"/>
      <c r="UWH21"/>
      <c r="UWI21"/>
      <c r="UWJ21"/>
      <c r="UWK21"/>
      <c r="UWL21"/>
      <c r="UWM21"/>
      <c r="UWN21"/>
      <c r="UWO21"/>
      <c r="UWP21"/>
      <c r="UWQ21"/>
      <c r="UWR21"/>
      <c r="UWS21"/>
      <c r="UWT21"/>
      <c r="UWU21"/>
      <c r="UWV21"/>
      <c r="UWW21"/>
      <c r="UWX21"/>
      <c r="UWY21"/>
      <c r="UWZ21"/>
      <c r="UXA21"/>
      <c r="UXB21"/>
      <c r="UXC21"/>
      <c r="UXD21"/>
      <c r="UXE21"/>
      <c r="UXF21"/>
      <c r="UXG21"/>
      <c r="UXH21"/>
      <c r="UXI21"/>
      <c r="UXJ21"/>
      <c r="UXK21"/>
      <c r="UXL21"/>
      <c r="UXM21"/>
      <c r="UXN21"/>
      <c r="UXO21"/>
      <c r="UXP21"/>
      <c r="UXQ21"/>
      <c r="UXR21"/>
      <c r="UXS21"/>
      <c r="UXT21"/>
      <c r="UXU21"/>
      <c r="UXV21"/>
      <c r="UXW21"/>
      <c r="UXX21"/>
      <c r="UXY21"/>
      <c r="UXZ21"/>
      <c r="UYA21"/>
      <c r="UYB21"/>
      <c r="UYC21"/>
      <c r="UYD21"/>
      <c r="UYE21"/>
      <c r="UYF21"/>
      <c r="UYG21"/>
      <c r="UYH21"/>
      <c r="UYI21"/>
      <c r="UYJ21"/>
      <c r="UYK21"/>
      <c r="UYL21"/>
      <c r="UYM21"/>
      <c r="UYN21"/>
      <c r="UYO21"/>
      <c r="UYP21"/>
      <c r="UYQ21"/>
      <c r="UYR21"/>
      <c r="UYS21"/>
      <c r="UYT21"/>
      <c r="UYU21"/>
      <c r="UYV21"/>
      <c r="UYW21"/>
      <c r="UYX21"/>
      <c r="UYY21"/>
      <c r="UYZ21"/>
      <c r="UZA21"/>
      <c r="UZB21"/>
      <c r="UZC21"/>
      <c r="UZD21"/>
      <c r="UZE21"/>
      <c r="UZF21"/>
      <c r="UZG21"/>
      <c r="UZH21"/>
      <c r="UZI21"/>
      <c r="UZJ21"/>
      <c r="UZK21"/>
      <c r="UZL21"/>
      <c r="UZM21"/>
      <c r="UZN21"/>
      <c r="UZO21"/>
      <c r="UZP21"/>
      <c r="UZQ21"/>
      <c r="UZR21"/>
      <c r="UZS21"/>
      <c r="UZT21"/>
      <c r="UZU21"/>
      <c r="UZV21"/>
      <c r="UZW21"/>
      <c r="UZX21"/>
      <c r="UZY21"/>
      <c r="UZZ21"/>
      <c r="VAA21"/>
      <c r="VAB21"/>
      <c r="VAC21"/>
      <c r="VAD21"/>
      <c r="VAE21"/>
      <c r="VAF21"/>
      <c r="VAG21"/>
      <c r="VAH21"/>
      <c r="VAI21"/>
      <c r="VAJ21"/>
      <c r="VAK21"/>
      <c r="VAL21"/>
      <c r="VAM21"/>
      <c r="VAN21"/>
      <c r="VAO21"/>
      <c r="VAP21"/>
      <c r="VAQ21"/>
      <c r="VAR21"/>
      <c r="VAS21"/>
      <c r="VAT21"/>
      <c r="VAU21"/>
      <c r="VAV21"/>
      <c r="VAW21"/>
      <c r="VAX21"/>
      <c r="VAY21"/>
      <c r="VAZ21"/>
      <c r="VBA21"/>
      <c r="VBB21"/>
      <c r="VBC21"/>
      <c r="VBD21"/>
      <c r="VBE21"/>
      <c r="VBF21"/>
      <c r="VBG21"/>
      <c r="VBH21"/>
      <c r="VBI21"/>
      <c r="VBJ21"/>
      <c r="VBK21"/>
      <c r="VBL21"/>
      <c r="VBM21"/>
      <c r="VBN21"/>
      <c r="VBO21"/>
      <c r="VBP21"/>
      <c r="VBQ21"/>
      <c r="VBR21"/>
      <c r="VBS21"/>
      <c r="VBT21"/>
      <c r="VBU21"/>
      <c r="VBV21"/>
      <c r="VBW21"/>
      <c r="VBX21"/>
      <c r="VBY21"/>
      <c r="VBZ21"/>
      <c r="VCA21"/>
      <c r="VCB21"/>
      <c r="VCC21"/>
      <c r="VCD21"/>
      <c r="VCE21"/>
      <c r="VCF21"/>
      <c r="VCG21"/>
      <c r="VCH21"/>
      <c r="VCI21"/>
      <c r="VCJ21"/>
      <c r="VCK21"/>
      <c r="VCL21"/>
      <c r="VCM21"/>
      <c r="VCN21"/>
      <c r="VCO21"/>
      <c r="VCP21"/>
      <c r="VCQ21"/>
      <c r="VCR21"/>
      <c r="VCS21"/>
      <c r="VCT21"/>
      <c r="VCU21"/>
      <c r="VCV21"/>
      <c r="VCW21"/>
      <c r="VCX21"/>
      <c r="VCY21"/>
      <c r="VCZ21"/>
      <c r="VDA21"/>
      <c r="VDB21"/>
      <c r="VDC21"/>
      <c r="VDD21"/>
      <c r="VDE21"/>
      <c r="VDF21"/>
      <c r="VDG21"/>
      <c r="VDH21"/>
      <c r="VDI21"/>
      <c r="VDJ21"/>
      <c r="VDK21"/>
      <c r="VDL21"/>
      <c r="VDM21"/>
      <c r="VDN21"/>
      <c r="VDO21"/>
      <c r="VDP21"/>
      <c r="VDQ21"/>
      <c r="VDR21"/>
      <c r="VDS21"/>
      <c r="VDT21"/>
      <c r="VDU21"/>
      <c r="VDV21"/>
      <c r="VDW21"/>
      <c r="VDX21"/>
      <c r="VDY21"/>
      <c r="VDZ21"/>
      <c r="VEA21"/>
      <c r="VEB21"/>
      <c r="VEC21"/>
      <c r="VED21"/>
      <c r="VEE21"/>
      <c r="VEF21"/>
      <c r="VEG21"/>
      <c r="VEH21"/>
      <c r="VEI21"/>
      <c r="VEJ21"/>
      <c r="VEK21"/>
      <c r="VEL21"/>
      <c r="VEM21"/>
      <c r="VEN21"/>
      <c r="VEO21"/>
      <c r="VEP21"/>
      <c r="VEQ21"/>
      <c r="VER21"/>
      <c r="VES21"/>
      <c r="VET21"/>
      <c r="VEU21"/>
      <c r="VEV21"/>
      <c r="VEW21"/>
      <c r="VEX21"/>
      <c r="VEY21"/>
      <c r="VEZ21"/>
      <c r="VFA21"/>
      <c r="VFB21"/>
      <c r="VFC21"/>
      <c r="VFD21"/>
      <c r="VFE21"/>
      <c r="VFF21"/>
      <c r="VFG21"/>
      <c r="VFH21"/>
      <c r="VFI21"/>
      <c r="VFJ21"/>
      <c r="VFK21"/>
      <c r="VFL21"/>
      <c r="VFM21"/>
      <c r="VFN21"/>
      <c r="VFO21"/>
      <c r="VFP21"/>
      <c r="VFQ21"/>
      <c r="VFR21"/>
      <c r="VFS21"/>
      <c r="VFT21"/>
      <c r="VFU21"/>
      <c r="VFV21"/>
      <c r="VFW21"/>
      <c r="VFX21"/>
      <c r="VFY21"/>
      <c r="VFZ21"/>
      <c r="VGA21"/>
      <c r="VGB21"/>
      <c r="VGC21"/>
      <c r="VGD21"/>
      <c r="VGE21"/>
      <c r="VGF21"/>
      <c r="VGG21"/>
      <c r="VGH21"/>
      <c r="VGI21"/>
      <c r="VGJ21"/>
      <c r="VGK21"/>
      <c r="VGL21"/>
      <c r="VGM21"/>
      <c r="VGN21"/>
      <c r="VGO21"/>
      <c r="VGP21"/>
      <c r="VGQ21"/>
      <c r="VGR21"/>
      <c r="VGS21"/>
      <c r="VGT21"/>
      <c r="VGU21"/>
      <c r="VGV21"/>
      <c r="VGW21"/>
      <c r="VGX21"/>
      <c r="VGY21"/>
      <c r="VGZ21"/>
      <c r="VHA21"/>
      <c r="VHB21"/>
      <c r="VHC21"/>
      <c r="VHD21"/>
      <c r="VHE21"/>
      <c r="VHF21"/>
      <c r="VHG21"/>
      <c r="VHH21"/>
      <c r="VHI21"/>
      <c r="VHJ21"/>
      <c r="VHK21"/>
      <c r="VHL21"/>
      <c r="VHM21"/>
      <c r="VHN21"/>
      <c r="VHO21"/>
      <c r="VHP21"/>
      <c r="VHQ21"/>
      <c r="VHR21"/>
      <c r="VHS21"/>
      <c r="VHT21"/>
      <c r="VHU21"/>
      <c r="VHV21"/>
      <c r="VHW21"/>
      <c r="VHX21"/>
      <c r="VHY21"/>
      <c r="VHZ21"/>
      <c r="VIA21"/>
      <c r="VIB21"/>
      <c r="VIC21"/>
      <c r="VID21"/>
      <c r="VIE21"/>
      <c r="VIF21"/>
      <c r="VIG21"/>
      <c r="VIH21"/>
      <c r="VII21"/>
      <c r="VIJ21"/>
      <c r="VIK21"/>
      <c r="VIL21"/>
      <c r="VIM21"/>
      <c r="VIN21"/>
      <c r="VIO21"/>
      <c r="VIP21"/>
      <c r="VIQ21"/>
      <c r="VIR21"/>
      <c r="VIS21"/>
      <c r="VIT21"/>
      <c r="VIU21"/>
      <c r="VIV21"/>
      <c r="VIW21"/>
      <c r="VIX21"/>
      <c r="VIY21"/>
      <c r="VIZ21"/>
      <c r="VJA21"/>
      <c r="VJB21"/>
      <c r="VJC21"/>
      <c r="VJD21"/>
      <c r="VJE21"/>
      <c r="VJF21"/>
      <c r="VJG21"/>
      <c r="VJH21"/>
      <c r="VJI21"/>
      <c r="VJJ21"/>
      <c r="VJK21"/>
      <c r="VJL21"/>
      <c r="VJM21"/>
      <c r="VJN21"/>
      <c r="VJO21"/>
      <c r="VJP21"/>
      <c r="VJQ21"/>
      <c r="VJR21"/>
      <c r="VJS21"/>
      <c r="VJT21"/>
      <c r="VJU21"/>
      <c r="VJV21"/>
      <c r="VJW21"/>
      <c r="VJX21"/>
      <c r="VJY21"/>
      <c r="VJZ21"/>
      <c r="VKA21"/>
      <c r="VKB21"/>
      <c r="VKC21"/>
      <c r="VKD21"/>
      <c r="VKE21"/>
      <c r="VKF21"/>
      <c r="VKG21"/>
      <c r="VKH21"/>
      <c r="VKI21"/>
      <c r="VKJ21"/>
      <c r="VKK21"/>
      <c r="VKL21"/>
      <c r="VKM21"/>
      <c r="VKN21"/>
      <c r="VKO21"/>
      <c r="VKP21"/>
      <c r="VKQ21"/>
      <c r="VKR21"/>
      <c r="VKS21"/>
      <c r="VKT21"/>
      <c r="VKU21"/>
      <c r="VKV21"/>
      <c r="VKW21"/>
      <c r="VKX21"/>
      <c r="VKY21"/>
      <c r="VKZ21"/>
      <c r="VLA21"/>
      <c r="VLB21"/>
      <c r="VLC21"/>
      <c r="VLD21"/>
      <c r="VLE21"/>
      <c r="VLF21"/>
      <c r="VLG21"/>
      <c r="VLH21"/>
      <c r="VLI21"/>
      <c r="VLJ21"/>
      <c r="VLK21"/>
      <c r="VLL21"/>
      <c r="VLM21"/>
      <c r="VLN21"/>
      <c r="VLO21"/>
      <c r="VLP21"/>
      <c r="VLQ21"/>
      <c r="VLR21"/>
      <c r="VLS21"/>
      <c r="VLT21"/>
      <c r="VLU21"/>
      <c r="VLV21"/>
      <c r="VLW21"/>
      <c r="VLX21"/>
      <c r="VLY21"/>
      <c r="VLZ21"/>
      <c r="VMA21"/>
      <c r="VMB21"/>
      <c r="VMC21"/>
      <c r="VMD21"/>
      <c r="VME21"/>
      <c r="VMF21"/>
      <c r="VMG21"/>
      <c r="VMH21"/>
      <c r="VMI21"/>
      <c r="VMJ21"/>
      <c r="VMK21"/>
      <c r="VML21"/>
      <c r="VMM21"/>
      <c r="VMN21"/>
      <c r="VMO21"/>
      <c r="VMP21"/>
      <c r="VMQ21"/>
      <c r="VMR21"/>
      <c r="VMS21"/>
      <c r="VMT21"/>
      <c r="VMU21"/>
      <c r="VMV21"/>
      <c r="VMW21"/>
      <c r="VMX21"/>
      <c r="VMY21"/>
      <c r="VMZ21"/>
      <c r="VNA21"/>
      <c r="VNB21"/>
      <c r="VNC21"/>
      <c r="VND21"/>
      <c r="VNE21"/>
      <c r="VNF21"/>
      <c r="VNG21"/>
      <c r="VNH21"/>
      <c r="VNI21"/>
      <c r="VNJ21"/>
      <c r="VNK21"/>
      <c r="VNL21"/>
      <c r="VNM21"/>
      <c r="VNN21"/>
      <c r="VNO21"/>
      <c r="VNP21"/>
      <c r="VNQ21"/>
      <c r="VNR21"/>
      <c r="VNS21"/>
      <c r="VNT21"/>
      <c r="VNU21"/>
      <c r="VNV21"/>
      <c r="VNW21"/>
      <c r="VNX21"/>
      <c r="VNY21"/>
      <c r="VNZ21"/>
      <c r="VOA21"/>
      <c r="VOB21"/>
      <c r="VOC21"/>
      <c r="VOD21"/>
      <c r="VOE21"/>
      <c r="VOF21"/>
      <c r="VOG21"/>
      <c r="VOH21"/>
      <c r="VOI21"/>
      <c r="VOJ21"/>
      <c r="VOK21"/>
      <c r="VOL21"/>
      <c r="VOM21"/>
      <c r="VON21"/>
      <c r="VOO21"/>
      <c r="VOP21"/>
      <c r="VOQ21"/>
      <c r="VOR21"/>
      <c r="VOS21"/>
      <c r="VOT21"/>
      <c r="VOU21"/>
      <c r="VOV21"/>
      <c r="VOW21"/>
      <c r="VOX21"/>
      <c r="VOY21"/>
      <c r="VOZ21"/>
      <c r="VPA21"/>
      <c r="VPB21"/>
      <c r="VPC21"/>
      <c r="VPD21"/>
      <c r="VPE21"/>
      <c r="VPF21"/>
      <c r="VPG21"/>
      <c r="VPH21"/>
      <c r="VPI21"/>
      <c r="VPJ21"/>
      <c r="VPK21"/>
      <c r="VPL21"/>
      <c r="VPM21"/>
      <c r="VPN21"/>
      <c r="VPO21"/>
      <c r="VPP21"/>
      <c r="VPQ21"/>
      <c r="VPR21"/>
      <c r="VPS21"/>
      <c r="VPT21"/>
      <c r="VPU21"/>
      <c r="VPV21"/>
      <c r="VPW21"/>
      <c r="VPX21"/>
      <c r="VPY21"/>
      <c r="VPZ21"/>
      <c r="VQA21"/>
      <c r="VQB21"/>
      <c r="VQC21"/>
      <c r="VQD21"/>
      <c r="VQE21"/>
      <c r="VQF21"/>
      <c r="VQG21"/>
      <c r="VQH21"/>
      <c r="VQI21"/>
      <c r="VQJ21"/>
      <c r="VQK21"/>
      <c r="VQL21"/>
      <c r="VQM21"/>
      <c r="VQN21"/>
      <c r="VQO21"/>
      <c r="VQP21"/>
      <c r="VQQ21"/>
      <c r="VQR21"/>
      <c r="VQS21"/>
      <c r="VQT21"/>
      <c r="VQU21"/>
      <c r="VQV21"/>
      <c r="VQW21"/>
      <c r="VQX21"/>
      <c r="VQY21"/>
      <c r="VQZ21"/>
      <c r="VRA21"/>
      <c r="VRB21"/>
      <c r="VRC21"/>
      <c r="VRD21"/>
      <c r="VRE21"/>
      <c r="VRF21"/>
      <c r="VRG21"/>
      <c r="VRH21"/>
      <c r="VRI21"/>
      <c r="VRJ21"/>
      <c r="VRK21"/>
      <c r="VRL21"/>
      <c r="VRM21"/>
      <c r="VRN21"/>
      <c r="VRO21"/>
      <c r="VRP21"/>
      <c r="VRQ21"/>
      <c r="VRR21"/>
      <c r="VRS21"/>
      <c r="VRT21"/>
      <c r="VRU21"/>
      <c r="VRV21"/>
      <c r="VRW21"/>
      <c r="VRX21"/>
      <c r="VRY21"/>
      <c r="VRZ21"/>
      <c r="VSA21"/>
      <c r="VSB21"/>
      <c r="VSC21"/>
      <c r="VSD21"/>
      <c r="VSE21"/>
      <c r="VSF21"/>
      <c r="VSG21"/>
      <c r="VSH21"/>
      <c r="VSI21"/>
      <c r="VSJ21"/>
      <c r="VSK21"/>
      <c r="VSL21"/>
      <c r="VSM21"/>
      <c r="VSN21"/>
      <c r="VSO21"/>
      <c r="VSP21"/>
      <c r="VSQ21"/>
      <c r="VSR21"/>
      <c r="VSS21"/>
      <c r="VST21"/>
      <c r="VSU21"/>
      <c r="VSV21"/>
      <c r="VSW21"/>
      <c r="VSX21"/>
      <c r="VSY21"/>
      <c r="VSZ21"/>
      <c r="VTA21"/>
      <c r="VTB21"/>
      <c r="VTC21"/>
      <c r="VTD21"/>
      <c r="VTE21"/>
      <c r="VTF21"/>
      <c r="VTG21"/>
      <c r="VTH21"/>
      <c r="VTI21"/>
      <c r="VTJ21"/>
      <c r="VTK21"/>
      <c r="VTL21"/>
      <c r="VTM21"/>
      <c r="VTN21"/>
      <c r="VTO21"/>
      <c r="VTP21"/>
      <c r="VTQ21"/>
      <c r="VTR21"/>
      <c r="VTS21"/>
      <c r="VTT21"/>
      <c r="VTU21"/>
      <c r="VTV21"/>
      <c r="VTW21"/>
      <c r="VTX21"/>
      <c r="VTY21"/>
      <c r="VTZ21"/>
      <c r="VUA21"/>
      <c r="VUB21"/>
      <c r="VUC21"/>
      <c r="VUD21"/>
      <c r="VUE21"/>
      <c r="VUF21"/>
      <c r="VUG21"/>
      <c r="VUH21"/>
      <c r="VUI21"/>
      <c r="VUJ21"/>
      <c r="VUK21"/>
      <c r="VUL21"/>
      <c r="VUM21"/>
      <c r="VUN21"/>
      <c r="VUO21"/>
      <c r="VUP21"/>
      <c r="VUQ21"/>
      <c r="VUR21"/>
      <c r="VUS21"/>
      <c r="VUT21"/>
      <c r="VUU21"/>
      <c r="VUV21"/>
      <c r="VUW21"/>
      <c r="VUX21"/>
      <c r="VUY21"/>
      <c r="VUZ21"/>
      <c r="VVA21"/>
      <c r="VVB21"/>
      <c r="VVC21"/>
      <c r="VVD21"/>
      <c r="VVE21"/>
      <c r="VVF21"/>
      <c r="VVG21"/>
      <c r="VVH21"/>
      <c r="VVI21"/>
      <c r="VVJ21"/>
      <c r="VVK21"/>
      <c r="VVL21"/>
      <c r="VVM21"/>
      <c r="VVN21"/>
      <c r="VVO21"/>
      <c r="VVP21"/>
      <c r="VVQ21"/>
      <c r="VVR21"/>
      <c r="VVS21"/>
      <c r="VVT21"/>
      <c r="VVU21"/>
      <c r="VVV21"/>
      <c r="VVW21"/>
      <c r="VVX21"/>
      <c r="VVY21"/>
      <c r="VVZ21"/>
      <c r="VWA21"/>
      <c r="VWB21"/>
      <c r="VWC21"/>
      <c r="VWD21"/>
      <c r="VWE21"/>
      <c r="VWF21"/>
      <c r="VWG21"/>
      <c r="VWH21"/>
      <c r="VWI21"/>
      <c r="VWJ21"/>
      <c r="VWK21"/>
      <c r="VWL21"/>
      <c r="VWM21"/>
      <c r="VWN21"/>
      <c r="VWO21"/>
      <c r="VWP21"/>
      <c r="VWQ21"/>
      <c r="VWR21"/>
      <c r="VWS21"/>
      <c r="VWT21"/>
      <c r="VWU21"/>
      <c r="VWV21"/>
      <c r="VWW21"/>
      <c r="VWX21"/>
      <c r="VWY21"/>
      <c r="VWZ21"/>
      <c r="VXA21"/>
      <c r="VXB21"/>
      <c r="VXC21"/>
      <c r="VXD21"/>
      <c r="VXE21"/>
      <c r="VXF21"/>
      <c r="VXG21"/>
      <c r="VXH21"/>
      <c r="VXI21"/>
      <c r="VXJ21"/>
      <c r="VXK21"/>
      <c r="VXL21"/>
      <c r="VXM21"/>
      <c r="VXN21"/>
      <c r="VXO21"/>
      <c r="VXP21"/>
      <c r="VXQ21"/>
      <c r="VXR21"/>
      <c r="VXS21"/>
      <c r="VXT21"/>
      <c r="VXU21"/>
      <c r="VXV21"/>
      <c r="VXW21"/>
      <c r="VXX21"/>
      <c r="VXY21"/>
      <c r="VXZ21"/>
      <c r="VYA21"/>
      <c r="VYB21"/>
      <c r="VYC21"/>
      <c r="VYD21"/>
      <c r="VYE21"/>
      <c r="VYF21"/>
      <c r="VYG21"/>
      <c r="VYH21"/>
      <c r="VYI21"/>
      <c r="VYJ21"/>
      <c r="VYK21"/>
      <c r="VYL21"/>
      <c r="VYM21"/>
      <c r="VYN21"/>
      <c r="VYO21"/>
      <c r="VYP21"/>
      <c r="VYQ21"/>
      <c r="VYR21"/>
      <c r="VYS21"/>
      <c r="VYT21"/>
      <c r="VYU21"/>
      <c r="VYV21"/>
      <c r="VYW21"/>
      <c r="VYX21"/>
      <c r="VYY21"/>
      <c r="VYZ21"/>
      <c r="VZA21"/>
      <c r="VZB21"/>
      <c r="VZC21"/>
      <c r="VZD21"/>
      <c r="VZE21"/>
      <c r="VZF21"/>
      <c r="VZG21"/>
      <c r="VZH21"/>
      <c r="VZI21"/>
      <c r="VZJ21"/>
      <c r="VZK21"/>
      <c r="VZL21"/>
      <c r="VZM21"/>
      <c r="VZN21"/>
      <c r="VZO21"/>
      <c r="VZP21"/>
      <c r="VZQ21"/>
      <c r="VZR21"/>
      <c r="VZS21"/>
      <c r="VZT21"/>
      <c r="VZU21"/>
      <c r="VZV21"/>
      <c r="VZW21"/>
      <c r="VZX21"/>
      <c r="VZY21"/>
      <c r="VZZ21"/>
      <c r="WAA21"/>
      <c r="WAB21"/>
      <c r="WAC21"/>
      <c r="WAD21"/>
      <c r="WAE21"/>
      <c r="WAF21"/>
      <c r="WAG21"/>
      <c r="WAH21"/>
      <c r="WAI21"/>
      <c r="WAJ21"/>
      <c r="WAK21"/>
      <c r="WAL21"/>
      <c r="WAM21"/>
      <c r="WAN21"/>
      <c r="WAO21"/>
      <c r="WAP21"/>
      <c r="WAQ21"/>
      <c r="WAR21"/>
      <c r="WAS21"/>
      <c r="WAT21"/>
      <c r="WAU21"/>
      <c r="WAV21"/>
      <c r="WAW21"/>
      <c r="WAX21"/>
      <c r="WAY21"/>
      <c r="WAZ21"/>
      <c r="WBA21"/>
      <c r="WBB21"/>
      <c r="WBC21"/>
      <c r="WBD21"/>
      <c r="WBE21"/>
      <c r="WBF21"/>
      <c r="WBG21"/>
      <c r="WBH21"/>
      <c r="WBI21"/>
      <c r="WBJ21"/>
      <c r="WBK21"/>
      <c r="WBL21"/>
      <c r="WBM21"/>
      <c r="WBN21"/>
      <c r="WBO21"/>
      <c r="WBP21"/>
      <c r="WBQ21"/>
      <c r="WBR21"/>
      <c r="WBS21"/>
      <c r="WBT21"/>
      <c r="WBU21"/>
      <c r="WBV21"/>
      <c r="WBW21"/>
      <c r="WBX21"/>
      <c r="WBY21"/>
      <c r="WBZ21"/>
      <c r="WCA21"/>
      <c r="WCB21"/>
      <c r="WCC21"/>
      <c r="WCD21"/>
      <c r="WCE21"/>
      <c r="WCF21"/>
      <c r="WCG21"/>
      <c r="WCH21"/>
      <c r="WCI21"/>
      <c r="WCJ21"/>
      <c r="WCK21"/>
      <c r="WCL21"/>
      <c r="WCM21"/>
      <c r="WCN21"/>
      <c r="WCO21"/>
      <c r="WCP21"/>
      <c r="WCQ21"/>
      <c r="WCR21"/>
      <c r="WCS21"/>
      <c r="WCT21"/>
      <c r="WCU21"/>
      <c r="WCV21"/>
      <c r="WCW21"/>
      <c r="WCX21"/>
      <c r="WCY21"/>
      <c r="WCZ21"/>
      <c r="WDA21"/>
      <c r="WDB21"/>
      <c r="WDC21"/>
      <c r="WDD21"/>
      <c r="WDE21"/>
      <c r="WDF21"/>
      <c r="WDG21"/>
      <c r="WDH21"/>
      <c r="WDI21"/>
      <c r="WDJ21"/>
      <c r="WDK21"/>
      <c r="WDL21"/>
      <c r="WDM21"/>
      <c r="WDN21"/>
      <c r="WDO21"/>
      <c r="WDP21"/>
      <c r="WDQ21"/>
      <c r="WDR21"/>
      <c r="WDS21"/>
      <c r="WDT21"/>
      <c r="WDU21"/>
      <c r="WDV21"/>
      <c r="WDW21"/>
      <c r="WDX21"/>
      <c r="WDY21"/>
      <c r="WDZ21"/>
      <c r="WEA21"/>
      <c r="WEB21"/>
      <c r="WEC21"/>
      <c r="WED21"/>
      <c r="WEE21"/>
      <c r="WEF21"/>
      <c r="WEG21"/>
      <c r="WEH21"/>
      <c r="WEI21"/>
      <c r="WEJ21"/>
      <c r="WEK21"/>
      <c r="WEL21"/>
      <c r="WEM21"/>
      <c r="WEN21"/>
      <c r="WEO21"/>
      <c r="WEP21"/>
      <c r="WEQ21"/>
      <c r="WER21"/>
      <c r="WES21"/>
      <c r="WET21"/>
      <c r="WEU21"/>
      <c r="WEV21"/>
      <c r="WEW21"/>
      <c r="WEX21"/>
      <c r="WEY21"/>
      <c r="WEZ21"/>
      <c r="WFA21"/>
      <c r="WFB21"/>
      <c r="WFC21"/>
      <c r="WFD21"/>
      <c r="WFE21"/>
      <c r="WFF21"/>
      <c r="WFG21"/>
      <c r="WFH21"/>
      <c r="WFI21"/>
      <c r="WFJ21"/>
      <c r="WFK21"/>
      <c r="WFL21"/>
      <c r="WFM21"/>
      <c r="WFN21"/>
      <c r="WFO21"/>
      <c r="WFP21"/>
      <c r="WFQ21"/>
      <c r="WFR21"/>
      <c r="WFS21"/>
      <c r="WFT21"/>
      <c r="WFU21"/>
      <c r="WFV21"/>
      <c r="WFW21"/>
      <c r="WFX21"/>
      <c r="WFY21"/>
      <c r="WFZ21"/>
      <c r="WGA21"/>
      <c r="WGB21"/>
      <c r="WGC21"/>
      <c r="WGD21"/>
      <c r="WGE21"/>
      <c r="WGF21"/>
      <c r="WGG21"/>
      <c r="WGH21"/>
      <c r="WGI21"/>
      <c r="WGJ21"/>
      <c r="WGK21"/>
      <c r="WGL21"/>
      <c r="WGM21"/>
      <c r="WGN21"/>
      <c r="WGO21"/>
      <c r="WGP21"/>
      <c r="WGQ21"/>
      <c r="WGR21"/>
      <c r="WGS21"/>
      <c r="WGT21"/>
      <c r="WGU21"/>
      <c r="WGV21"/>
      <c r="WGW21"/>
      <c r="WGX21"/>
      <c r="WGY21"/>
      <c r="WGZ21"/>
      <c r="WHA21"/>
      <c r="WHB21"/>
      <c r="WHC21"/>
      <c r="WHD21"/>
      <c r="WHE21"/>
      <c r="WHF21"/>
      <c r="WHG21"/>
      <c r="WHH21"/>
      <c r="WHI21"/>
      <c r="WHJ21"/>
      <c r="WHK21"/>
      <c r="WHL21"/>
      <c r="WHM21"/>
      <c r="WHN21"/>
      <c r="WHO21"/>
      <c r="WHP21"/>
      <c r="WHQ21"/>
      <c r="WHR21"/>
      <c r="WHS21"/>
      <c r="WHT21"/>
      <c r="WHU21"/>
      <c r="WHV21"/>
      <c r="WHW21"/>
      <c r="WHX21"/>
      <c r="WHY21"/>
      <c r="WHZ21"/>
      <c r="WIA21"/>
      <c r="WIB21"/>
      <c r="WIC21"/>
      <c r="WID21"/>
      <c r="WIE21"/>
      <c r="WIF21"/>
      <c r="WIG21"/>
      <c r="WIH21"/>
      <c r="WII21"/>
      <c r="WIJ21"/>
      <c r="WIK21"/>
      <c r="WIL21"/>
      <c r="WIM21"/>
      <c r="WIN21"/>
      <c r="WIO21"/>
      <c r="WIP21"/>
      <c r="WIQ21"/>
      <c r="WIR21"/>
      <c r="WIS21"/>
      <c r="WIT21"/>
      <c r="WIU21"/>
      <c r="WIV21"/>
      <c r="WIW21"/>
      <c r="WIX21"/>
      <c r="WIY21"/>
      <c r="WIZ21"/>
      <c r="WJA21"/>
      <c r="WJB21"/>
      <c r="WJC21"/>
      <c r="WJD21"/>
      <c r="WJE21"/>
      <c r="WJF21"/>
      <c r="WJG21"/>
      <c r="WJH21"/>
      <c r="WJI21"/>
      <c r="WJJ21"/>
      <c r="WJK21"/>
      <c r="WJL21"/>
      <c r="WJM21"/>
      <c r="WJN21"/>
      <c r="WJO21"/>
      <c r="WJP21"/>
      <c r="WJQ21"/>
      <c r="WJR21"/>
      <c r="WJS21"/>
      <c r="WJT21"/>
      <c r="WJU21"/>
      <c r="WJV21"/>
      <c r="WJW21"/>
      <c r="WJX21"/>
      <c r="WJY21"/>
      <c r="WJZ21"/>
      <c r="WKA21"/>
      <c r="WKB21"/>
      <c r="WKC21"/>
      <c r="WKD21"/>
      <c r="WKE21"/>
      <c r="WKF21"/>
      <c r="WKG21"/>
      <c r="WKH21"/>
      <c r="WKI21"/>
      <c r="WKJ21"/>
      <c r="WKK21"/>
      <c r="WKL21"/>
      <c r="WKM21"/>
      <c r="WKN21"/>
      <c r="WKO21"/>
      <c r="WKP21"/>
      <c r="WKQ21"/>
      <c r="WKR21"/>
      <c r="WKS21"/>
      <c r="WKT21"/>
      <c r="WKU21"/>
      <c r="WKV21"/>
      <c r="WKW21"/>
      <c r="WKX21"/>
      <c r="WKY21"/>
      <c r="WKZ21"/>
      <c r="WLA21"/>
      <c r="WLB21"/>
      <c r="WLC21"/>
      <c r="WLD21"/>
      <c r="WLE21"/>
      <c r="WLF21"/>
      <c r="WLG21"/>
      <c r="WLH21"/>
      <c r="WLI21"/>
      <c r="WLJ21"/>
      <c r="WLK21"/>
      <c r="WLL21"/>
      <c r="WLM21"/>
      <c r="WLN21"/>
      <c r="WLO21"/>
      <c r="WLP21"/>
      <c r="WLQ21"/>
      <c r="WLR21"/>
      <c r="WLS21"/>
      <c r="WLT21"/>
      <c r="WLU21"/>
      <c r="WLV21"/>
      <c r="WLW21"/>
      <c r="WLX21"/>
      <c r="WLY21"/>
      <c r="WLZ21"/>
      <c r="WMA21"/>
      <c r="WMB21"/>
      <c r="WMC21"/>
      <c r="WMD21"/>
      <c r="WME21"/>
      <c r="WMF21"/>
      <c r="WMG21"/>
      <c r="WMH21"/>
      <c r="WMI21"/>
      <c r="WMJ21"/>
      <c r="WMK21"/>
      <c r="WML21"/>
      <c r="WMM21"/>
      <c r="WMN21"/>
      <c r="WMO21"/>
      <c r="WMP21"/>
      <c r="WMQ21"/>
      <c r="WMR21"/>
      <c r="WMS21"/>
      <c r="WMT21"/>
      <c r="WMU21"/>
      <c r="WMV21"/>
      <c r="WMW21"/>
      <c r="WMX21"/>
      <c r="WMY21"/>
      <c r="WMZ21"/>
      <c r="WNA21"/>
      <c r="WNB21"/>
      <c r="WNC21"/>
      <c r="WND21"/>
      <c r="WNE21"/>
      <c r="WNF21"/>
      <c r="WNG21"/>
      <c r="WNH21"/>
      <c r="WNI21"/>
      <c r="WNJ21"/>
      <c r="WNK21"/>
      <c r="WNL21"/>
      <c r="WNM21"/>
      <c r="WNN21"/>
      <c r="WNO21"/>
      <c r="WNP21"/>
      <c r="WNQ21"/>
      <c r="WNR21"/>
      <c r="WNS21"/>
      <c r="WNT21"/>
      <c r="WNU21"/>
      <c r="WNV21"/>
      <c r="WNW21"/>
      <c r="WNX21"/>
      <c r="WNY21"/>
      <c r="WNZ21"/>
      <c r="WOA21"/>
      <c r="WOB21"/>
      <c r="WOC21"/>
      <c r="WOD21"/>
      <c r="WOE21"/>
      <c r="WOF21"/>
      <c r="WOG21"/>
      <c r="WOH21"/>
      <c r="WOI21"/>
      <c r="WOJ21"/>
      <c r="WOK21"/>
      <c r="WOL21"/>
      <c r="WOM21"/>
      <c r="WON21"/>
      <c r="WOO21"/>
      <c r="WOP21"/>
      <c r="WOQ21"/>
      <c r="WOR21"/>
      <c r="WOS21"/>
      <c r="WOT21"/>
      <c r="WOU21"/>
      <c r="WOV21"/>
      <c r="WOW21"/>
      <c r="WOX21"/>
      <c r="WOY21"/>
      <c r="WOZ21"/>
      <c r="WPA21"/>
      <c r="WPB21"/>
      <c r="WPC21"/>
      <c r="WPD21"/>
      <c r="WPE21"/>
      <c r="WPF21"/>
      <c r="WPG21"/>
      <c r="WPH21"/>
      <c r="WPI21"/>
      <c r="WPJ21"/>
      <c r="WPK21"/>
      <c r="WPL21"/>
      <c r="WPM21"/>
      <c r="WPN21"/>
      <c r="WPO21"/>
      <c r="WPP21"/>
      <c r="WPQ21"/>
      <c r="WPR21"/>
      <c r="WPS21"/>
      <c r="WPT21"/>
      <c r="WPU21"/>
      <c r="WPV21"/>
      <c r="WPW21"/>
      <c r="WPX21"/>
      <c r="WPY21"/>
      <c r="WPZ21"/>
      <c r="WQA21"/>
      <c r="WQB21"/>
      <c r="WQC21"/>
      <c r="WQD21"/>
      <c r="WQE21"/>
      <c r="WQF21"/>
      <c r="WQG21"/>
      <c r="WQH21"/>
      <c r="WQI21"/>
      <c r="WQJ21"/>
      <c r="WQK21"/>
      <c r="WQL21"/>
      <c r="WQM21"/>
      <c r="WQN21"/>
      <c r="WQO21"/>
      <c r="WQP21"/>
      <c r="WQQ21"/>
      <c r="WQR21"/>
      <c r="WQS21"/>
      <c r="WQT21"/>
      <c r="WQU21"/>
      <c r="WQV21"/>
      <c r="WQW21"/>
      <c r="WQX21"/>
      <c r="WQY21"/>
      <c r="WQZ21"/>
      <c r="WRA21"/>
      <c r="WRB21"/>
      <c r="WRC21"/>
      <c r="WRD21"/>
      <c r="WRE21"/>
      <c r="WRF21"/>
      <c r="WRG21"/>
      <c r="WRH21"/>
      <c r="WRI21"/>
      <c r="WRJ21"/>
      <c r="WRK21"/>
      <c r="WRL21"/>
      <c r="WRM21"/>
      <c r="WRN21"/>
      <c r="WRO21"/>
      <c r="WRP21"/>
      <c r="WRQ21"/>
      <c r="WRR21"/>
      <c r="WRS21"/>
      <c r="WRT21"/>
      <c r="WRU21"/>
      <c r="WRV21"/>
      <c r="WRW21"/>
      <c r="WRX21"/>
      <c r="WRY21"/>
      <c r="WRZ21"/>
      <c r="WSA21"/>
      <c r="WSB21"/>
      <c r="WSC21"/>
      <c r="WSD21"/>
      <c r="WSE21"/>
      <c r="WSF21"/>
      <c r="WSG21"/>
      <c r="WSH21"/>
      <c r="WSI21"/>
      <c r="WSJ21"/>
      <c r="WSK21"/>
      <c r="WSL21"/>
      <c r="WSM21"/>
      <c r="WSN21"/>
      <c r="WSO21"/>
      <c r="WSP21"/>
      <c r="WSQ21"/>
      <c r="WSR21"/>
      <c r="WSS21"/>
      <c r="WST21"/>
      <c r="WSU21"/>
      <c r="WSV21"/>
      <c r="WSW21"/>
      <c r="WSX21"/>
      <c r="WSY21"/>
      <c r="WSZ21"/>
      <c r="WTA21"/>
      <c r="WTB21"/>
      <c r="WTC21"/>
      <c r="WTD21"/>
      <c r="WTE21"/>
      <c r="WTF21"/>
      <c r="WTG21"/>
      <c r="WTH21"/>
      <c r="WTI21"/>
      <c r="WTJ21"/>
      <c r="WTK21"/>
      <c r="WTL21"/>
      <c r="WTM21"/>
      <c r="WTN21"/>
      <c r="WTO21"/>
      <c r="WTP21"/>
      <c r="WTQ21"/>
      <c r="WTR21"/>
      <c r="WTS21"/>
      <c r="WTT21"/>
      <c r="WTU21"/>
      <c r="WTV21"/>
      <c r="WTW21"/>
      <c r="WTX21"/>
      <c r="WTY21"/>
      <c r="WTZ21"/>
      <c r="WUA21"/>
      <c r="WUB21"/>
      <c r="WUC21"/>
      <c r="WUD21"/>
      <c r="WUE21"/>
      <c r="WUF21"/>
      <c r="WUG21"/>
      <c r="WUH21"/>
      <c r="WUI21"/>
      <c r="WUJ21"/>
      <c r="WUK21"/>
      <c r="WUL21"/>
      <c r="WUM21"/>
      <c r="WUN21"/>
      <c r="WUO21"/>
      <c r="WUP21"/>
      <c r="WUQ21"/>
      <c r="WUR21"/>
      <c r="WUS21"/>
      <c r="WUT21"/>
      <c r="WUU21"/>
      <c r="WUV21"/>
      <c r="WUW21"/>
      <c r="WUX21"/>
      <c r="WUY21"/>
      <c r="WUZ21"/>
      <c r="WVA21"/>
      <c r="WVB21"/>
      <c r="WVC21"/>
      <c r="WVD21"/>
      <c r="WVE21"/>
      <c r="WVF21"/>
      <c r="WVG21"/>
      <c r="WVH21"/>
      <c r="WVI21"/>
      <c r="WVJ21"/>
      <c r="WVK21"/>
      <c r="WVL21"/>
      <c r="WVM21"/>
      <c r="WVN21"/>
      <c r="WVO21"/>
      <c r="WVP21"/>
      <c r="WVQ21"/>
      <c r="WVR21"/>
      <c r="WVS21"/>
      <c r="WVT21"/>
      <c r="WVU21"/>
      <c r="WVV21"/>
      <c r="WVW21"/>
      <c r="WVX21"/>
      <c r="WVY21"/>
      <c r="WVZ21"/>
      <c r="WWA21"/>
      <c r="WWB21"/>
      <c r="WWC21"/>
      <c r="WWD21"/>
      <c r="WWE21"/>
      <c r="WWF21"/>
      <c r="WWG21"/>
      <c r="WWH21"/>
      <c r="WWI21"/>
      <c r="WWJ21"/>
      <c r="WWK21"/>
      <c r="WWL21"/>
      <c r="WWM21"/>
      <c r="WWN21"/>
      <c r="WWO21"/>
      <c r="WWP21"/>
      <c r="WWQ21"/>
      <c r="WWR21"/>
      <c r="WWS21"/>
      <c r="WWT21"/>
      <c r="WWU21"/>
      <c r="WWV21"/>
      <c r="WWW21"/>
      <c r="WWX21"/>
      <c r="WWY21"/>
      <c r="WWZ21"/>
      <c r="WXA21"/>
      <c r="WXB21"/>
      <c r="WXC21"/>
      <c r="WXD21"/>
      <c r="WXE21"/>
      <c r="WXF21"/>
      <c r="WXG21"/>
      <c r="WXH21"/>
      <c r="WXI21"/>
      <c r="WXJ21"/>
      <c r="WXK21"/>
      <c r="WXL21"/>
      <c r="WXM21"/>
      <c r="WXN21"/>
      <c r="WXO21"/>
      <c r="WXP21"/>
      <c r="WXQ21"/>
      <c r="WXR21"/>
      <c r="WXS21"/>
      <c r="WXT21"/>
      <c r="WXU21"/>
      <c r="WXV21"/>
      <c r="WXW21"/>
      <c r="WXX21"/>
      <c r="WXY21"/>
      <c r="WXZ21"/>
      <c r="WYA21"/>
      <c r="WYB21"/>
      <c r="WYC21"/>
      <c r="WYD21"/>
      <c r="WYE21"/>
      <c r="WYF21"/>
      <c r="WYG21"/>
      <c r="WYH21"/>
      <c r="WYI21"/>
      <c r="WYJ21"/>
      <c r="WYK21"/>
      <c r="WYL21"/>
      <c r="WYM21"/>
      <c r="WYN21"/>
      <c r="WYO21"/>
      <c r="WYP21"/>
      <c r="WYQ21"/>
      <c r="WYR21"/>
      <c r="WYS21"/>
      <c r="WYT21"/>
      <c r="WYU21"/>
      <c r="WYV21"/>
      <c r="WYW21"/>
      <c r="WYX21"/>
      <c r="WYY21"/>
      <c r="WYZ21"/>
      <c r="WZA21"/>
      <c r="WZB21"/>
      <c r="WZC21"/>
      <c r="WZD21"/>
      <c r="WZE21"/>
      <c r="WZF21"/>
      <c r="WZG21"/>
      <c r="WZH21"/>
      <c r="WZI21"/>
      <c r="WZJ21"/>
      <c r="WZK21"/>
      <c r="WZL21"/>
      <c r="WZM21"/>
      <c r="WZN21"/>
      <c r="WZO21"/>
      <c r="WZP21"/>
      <c r="WZQ21"/>
      <c r="WZR21"/>
      <c r="WZS21"/>
      <c r="WZT21"/>
      <c r="WZU21"/>
      <c r="WZV21"/>
      <c r="WZW21"/>
      <c r="WZX21"/>
      <c r="WZY21"/>
      <c r="WZZ21"/>
      <c r="XAA21"/>
      <c r="XAB21"/>
      <c r="XAC21"/>
      <c r="XAD21"/>
      <c r="XAE21"/>
      <c r="XAF21"/>
      <c r="XAG21"/>
      <c r="XAH21"/>
      <c r="XAI21"/>
      <c r="XAJ21"/>
      <c r="XAK21"/>
      <c r="XAL21"/>
      <c r="XAM21"/>
      <c r="XAN21"/>
      <c r="XAO21"/>
      <c r="XAP21"/>
      <c r="XAQ21"/>
      <c r="XAR21"/>
      <c r="XAS21"/>
      <c r="XAT21"/>
      <c r="XAU21"/>
      <c r="XAV21"/>
      <c r="XAW21"/>
      <c r="XAX21"/>
      <c r="XAY21"/>
      <c r="XAZ21"/>
      <c r="XBA21"/>
      <c r="XBB21"/>
      <c r="XBC21"/>
      <c r="XBD21"/>
      <c r="XBE21"/>
      <c r="XBF21"/>
      <c r="XBG21"/>
      <c r="XBH21"/>
      <c r="XBI21"/>
      <c r="XBJ21"/>
      <c r="XBK21"/>
      <c r="XBL21"/>
      <c r="XBM21"/>
      <c r="XBN21"/>
      <c r="XBO21"/>
      <c r="XBP21"/>
      <c r="XBQ21"/>
      <c r="XBR21"/>
      <c r="XBS21"/>
      <c r="XBT21"/>
      <c r="XBU21"/>
      <c r="XBV21"/>
      <c r="XBW21"/>
      <c r="XBX21"/>
      <c r="XBY21"/>
      <c r="XBZ21"/>
      <c r="XCA21"/>
      <c r="XCB21"/>
      <c r="XCC21"/>
      <c r="XCD21"/>
      <c r="XCE21"/>
      <c r="XCF21"/>
      <c r="XCG21"/>
      <c r="XCH21"/>
      <c r="XCI21"/>
      <c r="XCJ21"/>
      <c r="XCK21"/>
      <c r="XCL21"/>
      <c r="XCM21"/>
      <c r="XCN21"/>
      <c r="XCO21"/>
      <c r="XCP21"/>
      <c r="XCQ21"/>
      <c r="XCR21"/>
      <c r="XCS21"/>
      <c r="XCT21"/>
      <c r="XCU21"/>
      <c r="XCV21"/>
      <c r="XCW21"/>
      <c r="XCX21"/>
      <c r="XCY21"/>
      <c r="XCZ21"/>
      <c r="XDA21"/>
      <c r="XDB21"/>
      <c r="XDC21"/>
      <c r="XDD21"/>
      <c r="XDE21"/>
      <c r="XDF21"/>
      <c r="XDG21"/>
      <c r="XDH21"/>
      <c r="XDI21"/>
      <c r="XDJ21"/>
      <c r="XDK21"/>
      <c r="XDL21"/>
      <c r="XDM21"/>
      <c r="XDN21"/>
      <c r="XDO21"/>
      <c r="XDP21"/>
      <c r="XDQ21"/>
      <c r="XDR21"/>
      <c r="XDS21"/>
      <c r="XDT21"/>
      <c r="XDU21"/>
      <c r="XDV21"/>
      <c r="XDW21"/>
      <c r="XDX21"/>
      <c r="XDY21"/>
      <c r="XDZ21"/>
      <c r="XEA21"/>
      <c r="XEB21"/>
      <c r="XEC21"/>
      <c r="XED21"/>
      <c r="XEE21"/>
      <c r="XEF21"/>
      <c r="XEG21"/>
      <c r="XEH21"/>
      <c r="XEI21"/>
      <c r="XEJ21"/>
      <c r="XEK21"/>
      <c r="XEL21"/>
      <c r="XEM21"/>
      <c r="XEN21"/>
      <c r="XEO21"/>
      <c r="XEP21"/>
      <c r="XEQ21"/>
      <c r="XER21"/>
      <c r="XES21"/>
      <c r="XET21"/>
      <c r="XEU21"/>
      <c r="XEV21"/>
      <c r="XEW21"/>
      <c r="XEX21"/>
    </row>
    <row r="22" spans="1:16378" ht="26.25" customHeight="1"/>
    <row r="23" spans="1:16378" ht="26.25" customHeight="1">
      <c r="B23" s="161" t="s">
        <v>250</v>
      </c>
      <c r="C23" s="8"/>
      <c r="D23" s="920" t="s">
        <v>37</v>
      </c>
      <c r="E23" s="920"/>
      <c r="F23" s="920"/>
    </row>
    <row r="24" spans="1:16378" ht="26.25" customHeight="1">
      <c r="B24" s="161" t="s">
        <v>251</v>
      </c>
      <c r="C24" s="8"/>
      <c r="D24" s="926" t="s">
        <v>290</v>
      </c>
      <c r="E24" s="926" t="s">
        <v>288</v>
      </c>
      <c r="F24" s="920" t="s">
        <v>54</v>
      </c>
    </row>
    <row r="25" spans="1:16378" ht="26.25" customHeight="1">
      <c r="B25" s="161" t="s">
        <v>252</v>
      </c>
      <c r="C25" s="8"/>
      <c r="D25" s="927"/>
      <c r="E25" s="927"/>
      <c r="F25" s="920"/>
    </row>
    <row r="26" spans="1:16378" ht="26.25" customHeight="1">
      <c r="B26" s="161" t="s">
        <v>253</v>
      </c>
      <c r="C26" s="8"/>
      <c r="D26" s="927"/>
      <c r="E26" s="927"/>
      <c r="F26" s="920"/>
    </row>
    <row r="27" spans="1:16378" ht="26.25" customHeight="1">
      <c r="B27" s="161" t="s">
        <v>297</v>
      </c>
      <c r="C27" s="8"/>
      <c r="D27" s="927"/>
      <c r="E27" s="927"/>
      <c r="F27" s="920"/>
    </row>
    <row r="28" spans="1:16378" ht="26.25" customHeight="1">
      <c r="B28" s="162" t="s">
        <v>298</v>
      </c>
      <c r="C28" s="163"/>
      <c r="D28" s="928"/>
      <c r="E28" s="928"/>
      <c r="F28" s="929"/>
    </row>
    <row r="29" spans="1:16378">
      <c r="B29" s="924" t="s">
        <v>254</v>
      </c>
      <c r="C29" s="925"/>
      <c r="D29" s="164"/>
      <c r="E29" s="164"/>
      <c r="F29" s="164"/>
    </row>
    <row r="30" spans="1:16378" ht="16.5" customHeight="1">
      <c r="B30" s="165" t="s">
        <v>299</v>
      </c>
      <c r="C30" s="166" t="s">
        <v>255</v>
      </c>
      <c r="D30" s="167"/>
      <c r="E30" s="167"/>
      <c r="F30" s="167"/>
    </row>
    <row r="31" spans="1:16378">
      <c r="B31" s="168"/>
      <c r="C31" s="169"/>
      <c r="D31" s="170"/>
      <c r="E31" s="171"/>
      <c r="F31" s="171"/>
    </row>
    <row r="32" spans="1:16378">
      <c r="B32" s="168"/>
      <c r="C32" s="169"/>
      <c r="D32" s="170"/>
      <c r="E32" s="171"/>
      <c r="F32" s="171"/>
    </row>
    <row r="33" spans="1:6">
      <c r="B33" s="923" t="s">
        <v>300</v>
      </c>
      <c r="C33" s="923"/>
      <c r="D33" s="172"/>
      <c r="E33" s="172"/>
      <c r="F33" s="172"/>
    </row>
    <row r="36" spans="1:6">
      <c r="A36" s="204" t="s">
        <v>71</v>
      </c>
      <c r="B36" s="178"/>
      <c r="C36" s="178"/>
    </row>
    <row r="37" spans="1:6">
      <c r="B37" s="174"/>
    </row>
  </sheetData>
  <mergeCells count="12">
    <mergeCell ref="D10:F10"/>
    <mergeCell ref="D11:D15"/>
    <mergeCell ref="E11:E15"/>
    <mergeCell ref="F11:F15"/>
    <mergeCell ref="B29:C29"/>
    <mergeCell ref="B33:C33"/>
    <mergeCell ref="B16:C16"/>
    <mergeCell ref="B20:C20"/>
    <mergeCell ref="D23:F23"/>
    <mergeCell ref="D24:D28"/>
    <mergeCell ref="E24:E28"/>
    <mergeCell ref="F24:F28"/>
  </mergeCells>
  <pageMargins left="0.2" right="0.2" top="0.25" bottom="0.25" header="0.3" footer="0.3"/>
  <pageSetup paperSize="9" scale="8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469"/>
  <sheetViews>
    <sheetView topLeftCell="A400" workbookViewId="0">
      <selection activeCell="J418" sqref="J418:L418"/>
    </sheetView>
  </sheetViews>
  <sheetFormatPr defaultRowHeight="14.4"/>
  <cols>
    <col min="1" max="1" width="6" customWidth="1"/>
    <col min="2" max="4" width="8.109375" customWidth="1"/>
    <col min="5" max="5" width="8.109375" style="303" customWidth="1"/>
    <col min="6" max="6" width="10.6640625" style="303" customWidth="1"/>
    <col min="7" max="7" width="42.5546875" customWidth="1"/>
    <col min="8" max="8" width="15.33203125" customWidth="1"/>
    <col min="9" max="9" width="15" style="304" customWidth="1"/>
    <col min="10" max="10" width="19.33203125" style="305" customWidth="1"/>
    <col min="11" max="12" width="15.33203125" style="305" customWidth="1"/>
    <col min="14" max="14" width="11.44140625" bestFit="1" customWidth="1"/>
  </cols>
  <sheetData>
    <row r="1" spans="1:14" ht="49.5" customHeight="1">
      <c r="A1" s="301"/>
      <c r="B1" s="931" t="s">
        <v>41</v>
      </c>
      <c r="C1" s="931"/>
      <c r="D1" s="931"/>
      <c r="E1" s="931"/>
      <c r="F1" s="931"/>
      <c r="G1" s="931"/>
      <c r="H1" s="931"/>
      <c r="I1" s="931"/>
      <c r="J1" s="931"/>
      <c r="K1" s="931"/>
      <c r="L1" s="931"/>
    </row>
    <row r="2" spans="1:14">
      <c r="D2" s="302"/>
      <c r="E2" s="302"/>
      <c r="F2" s="302"/>
      <c r="G2" s="302"/>
      <c r="H2" s="302"/>
      <c r="I2" s="302"/>
      <c r="J2" s="302"/>
      <c r="K2" s="302"/>
      <c r="L2" s="302"/>
    </row>
    <row r="3" spans="1:14" ht="29.25" customHeight="1">
      <c r="B3" s="775" t="s">
        <v>532</v>
      </c>
      <c r="C3" s="775"/>
      <c r="D3" s="775"/>
      <c r="E3" s="775" t="s">
        <v>5</v>
      </c>
      <c r="F3" s="775"/>
      <c r="G3" s="773" t="s">
        <v>65</v>
      </c>
      <c r="H3" s="773" t="s">
        <v>98</v>
      </c>
      <c r="I3" s="773" t="s">
        <v>99</v>
      </c>
      <c r="J3" s="773" t="s">
        <v>93</v>
      </c>
      <c r="K3" s="773" t="s">
        <v>100</v>
      </c>
      <c r="L3" s="773" t="s">
        <v>101</v>
      </c>
    </row>
    <row r="4" spans="1:14" ht="40.5" customHeight="1">
      <c r="B4" s="196" t="s">
        <v>6</v>
      </c>
      <c r="C4" s="196" t="s">
        <v>7</v>
      </c>
      <c r="D4" s="196" t="s">
        <v>8</v>
      </c>
      <c r="E4" s="57" t="s">
        <v>1</v>
      </c>
      <c r="F4" s="57" t="s">
        <v>20</v>
      </c>
      <c r="G4" s="774"/>
      <c r="H4" s="774"/>
      <c r="I4" s="774"/>
      <c r="J4" s="774"/>
      <c r="K4" s="774"/>
      <c r="L4" s="774"/>
    </row>
    <row r="5" spans="1:14" ht="27.75" customHeight="1">
      <c r="B5" s="198"/>
      <c r="C5" s="307"/>
      <c r="D5" s="307"/>
      <c r="E5" s="308"/>
      <c r="F5" s="308"/>
      <c r="G5" s="309" t="s">
        <v>14</v>
      </c>
      <c r="H5" s="306">
        <f>H6+H143+H290+H301+H419+H459</f>
        <v>13081766.891899999</v>
      </c>
      <c r="I5" s="306">
        <f t="shared" ref="I5:L5" si="0">I6+I143+I290+I301+I419+I459</f>
        <v>15699341.983999999</v>
      </c>
      <c r="J5" s="306">
        <f t="shared" si="0"/>
        <v>14427342.469573352</v>
      </c>
      <c r="K5" s="306">
        <f t="shared" si="0"/>
        <v>18024165.00712483</v>
      </c>
      <c r="L5" s="306">
        <f t="shared" si="0"/>
        <v>17796408.233343497</v>
      </c>
    </row>
    <row r="6" spans="1:14" s="225" customFormat="1" ht="34.5" customHeight="1">
      <c r="B6" s="310" t="s">
        <v>450</v>
      </c>
      <c r="C6" s="310" t="s">
        <v>451</v>
      </c>
      <c r="D6" s="310" t="s">
        <v>452</v>
      </c>
      <c r="E6" s="312" t="str">
        <f>'[1]Tntesagitakan (2)'!A8</f>
        <v xml:space="preserve"> 1016</v>
      </c>
      <c r="F6" s="312"/>
      <c r="G6" s="313" t="s">
        <v>453</v>
      </c>
      <c r="H6" s="306">
        <f>H8+H17+H25+H34+H54+H70+H95+H125+H134</f>
        <v>2593372.6639999999</v>
      </c>
      <c r="I6" s="306">
        <f t="shared" ref="I6:L6" si="1">I8+I17+I25+I34+I54+I70+I95+I125+I134</f>
        <v>4215628.8000000007</v>
      </c>
      <c r="J6" s="306">
        <f t="shared" si="1"/>
        <v>3028107.8173195398</v>
      </c>
      <c r="K6" s="306">
        <f t="shared" si="1"/>
        <v>3090652.7087739664</v>
      </c>
      <c r="L6" s="306">
        <f t="shared" si="1"/>
        <v>2343911.7999999998</v>
      </c>
    </row>
    <row r="7" spans="1:14">
      <c r="B7" s="226"/>
      <c r="C7" s="226"/>
      <c r="D7" s="226"/>
      <c r="E7" s="226"/>
      <c r="F7" s="227"/>
      <c r="G7" s="228" t="str">
        <f>'[1]Tntesagitakan (2)'!C9</f>
        <v xml:space="preserve"> այդ թվում`</v>
      </c>
      <c r="H7" s="229"/>
      <c r="I7" s="229"/>
      <c r="J7" s="230"/>
      <c r="K7" s="231"/>
      <c r="L7" s="231"/>
    </row>
    <row r="8" spans="1:14" ht="31.5" customHeight="1">
      <c r="B8" s="232"/>
      <c r="C8" s="232"/>
      <c r="D8" s="232"/>
      <c r="E8" s="232"/>
      <c r="F8" s="233">
        <v>11001</v>
      </c>
      <c r="G8" s="234" t="s">
        <v>351</v>
      </c>
      <c r="H8" s="235">
        <f>H10</f>
        <v>219678.24</v>
      </c>
      <c r="I8" s="235">
        <f>I10</f>
        <v>217255.8</v>
      </c>
      <c r="J8" s="235">
        <f>J10</f>
        <v>217255.8</v>
      </c>
      <c r="K8" s="235">
        <f>K10</f>
        <v>217255.8</v>
      </c>
      <c r="L8" s="235">
        <f>L10</f>
        <v>217255.8</v>
      </c>
      <c r="N8" s="454"/>
    </row>
    <row r="9" spans="1:14">
      <c r="B9" s="232"/>
      <c r="C9" s="232"/>
      <c r="D9" s="232"/>
      <c r="E9" s="236"/>
      <c r="F9" s="237"/>
      <c r="G9" s="238" t="s">
        <v>66</v>
      </c>
      <c r="H9" s="229"/>
      <c r="I9" s="229"/>
      <c r="J9" s="239"/>
      <c r="K9" s="240"/>
      <c r="L9" s="240"/>
    </row>
    <row r="10" spans="1:14">
      <c r="B10" s="232"/>
      <c r="C10" s="232"/>
      <c r="D10" s="232"/>
      <c r="E10" s="236"/>
      <c r="F10" s="241"/>
      <c r="G10" s="242" t="s">
        <v>454</v>
      </c>
      <c r="H10" s="229">
        <f>H12</f>
        <v>219678.24</v>
      </c>
      <c r="I10" s="229">
        <f>I12</f>
        <v>217255.8</v>
      </c>
      <c r="J10" s="239">
        <f>J12</f>
        <v>217255.8</v>
      </c>
      <c r="K10" s="239">
        <f>K12</f>
        <v>217255.8</v>
      </c>
      <c r="L10" s="239">
        <f>L12</f>
        <v>217255.8</v>
      </c>
      <c r="N10" s="454"/>
    </row>
    <row r="11" spans="1:14" ht="21.6">
      <c r="B11" s="232"/>
      <c r="C11" s="232"/>
      <c r="D11" s="232"/>
      <c r="E11" s="236"/>
      <c r="F11" s="241"/>
      <c r="G11" s="238" t="s">
        <v>455</v>
      </c>
      <c r="H11" s="229"/>
      <c r="I11" s="229"/>
      <c r="J11" s="239"/>
      <c r="K11" s="239"/>
      <c r="L11" s="239"/>
    </row>
    <row r="12" spans="1:14">
      <c r="B12" s="232"/>
      <c r="C12" s="232"/>
      <c r="D12" s="232"/>
      <c r="E12" s="236"/>
      <c r="F12" s="241"/>
      <c r="G12" s="238" t="s">
        <v>456</v>
      </c>
      <c r="H12" s="229">
        <f t="shared" ref="H12:L15" si="2">H13</f>
        <v>219678.24</v>
      </c>
      <c r="I12" s="229">
        <f t="shared" si="2"/>
        <v>217255.8</v>
      </c>
      <c r="J12" s="239">
        <f t="shared" si="2"/>
        <v>217255.8</v>
      </c>
      <c r="K12" s="239">
        <f t="shared" si="2"/>
        <v>217255.8</v>
      </c>
      <c r="L12" s="239">
        <f t="shared" si="2"/>
        <v>217255.8</v>
      </c>
    </row>
    <row r="13" spans="1:14">
      <c r="B13" s="232"/>
      <c r="C13" s="232"/>
      <c r="D13" s="232"/>
      <c r="E13" s="236"/>
      <c r="F13" s="241"/>
      <c r="G13" s="238" t="s">
        <v>457</v>
      </c>
      <c r="H13" s="229">
        <f t="shared" si="2"/>
        <v>219678.24</v>
      </c>
      <c r="I13" s="229">
        <f t="shared" si="2"/>
        <v>217255.8</v>
      </c>
      <c r="J13" s="239">
        <f t="shared" si="2"/>
        <v>217255.8</v>
      </c>
      <c r="K13" s="239">
        <f t="shared" si="2"/>
        <v>217255.8</v>
      </c>
      <c r="L13" s="239">
        <f t="shared" si="2"/>
        <v>217255.8</v>
      </c>
    </row>
    <row r="14" spans="1:14">
      <c r="B14" s="232"/>
      <c r="C14" s="232"/>
      <c r="D14" s="232"/>
      <c r="E14" s="236"/>
      <c r="F14" s="241"/>
      <c r="G14" s="243" t="s">
        <v>458</v>
      </c>
      <c r="H14" s="229">
        <f>H15</f>
        <v>219678.24</v>
      </c>
      <c r="I14" s="229">
        <f t="shared" si="2"/>
        <v>217255.8</v>
      </c>
      <c r="J14" s="239">
        <f t="shared" si="2"/>
        <v>217255.8</v>
      </c>
      <c r="K14" s="239">
        <f t="shared" si="2"/>
        <v>217255.8</v>
      </c>
      <c r="L14" s="239">
        <f t="shared" si="2"/>
        <v>217255.8</v>
      </c>
    </row>
    <row r="15" spans="1:14" ht="27.75" customHeight="1">
      <c r="B15" s="232"/>
      <c r="C15" s="232"/>
      <c r="D15" s="232"/>
      <c r="E15" s="236"/>
      <c r="F15" s="241"/>
      <c r="G15" s="242" t="s">
        <v>459</v>
      </c>
      <c r="H15" s="229">
        <f t="shared" si="2"/>
        <v>219678.24</v>
      </c>
      <c r="I15" s="229">
        <f t="shared" si="2"/>
        <v>217255.8</v>
      </c>
      <c r="J15" s="239">
        <f t="shared" si="2"/>
        <v>217255.8</v>
      </c>
      <c r="K15" s="239">
        <f t="shared" si="2"/>
        <v>217255.8</v>
      </c>
      <c r="L15" s="239">
        <f t="shared" si="2"/>
        <v>217255.8</v>
      </c>
    </row>
    <row r="16" spans="1:14" ht="21.6">
      <c r="B16" s="232"/>
      <c r="C16" s="232"/>
      <c r="D16" s="232"/>
      <c r="E16" s="236"/>
      <c r="F16" s="244"/>
      <c r="G16" s="238" t="s">
        <v>460</v>
      </c>
      <c r="H16" s="229">
        <v>219678.24</v>
      </c>
      <c r="I16" s="229">
        <v>217255.8</v>
      </c>
      <c r="J16" s="229">
        <v>217255.8</v>
      </c>
      <c r="K16" s="229">
        <v>217255.8</v>
      </c>
      <c r="L16" s="229">
        <v>217255.8</v>
      </c>
    </row>
    <row r="17" spans="1:12" ht="49.95" customHeight="1">
      <c r="B17" s="232"/>
      <c r="C17" s="232"/>
      <c r="D17" s="232"/>
      <c r="E17" s="232"/>
      <c r="F17" s="233">
        <v>11003</v>
      </c>
      <c r="G17" s="234" t="s">
        <v>662</v>
      </c>
      <c r="H17" s="235">
        <f>H19</f>
        <v>22196.34</v>
      </c>
      <c r="I17" s="235">
        <f>I19</f>
        <v>0</v>
      </c>
      <c r="J17" s="235">
        <f>J19</f>
        <v>0</v>
      </c>
      <c r="K17" s="235">
        <f>K19</f>
        <v>0</v>
      </c>
      <c r="L17" s="235">
        <f>L19</f>
        <v>0</v>
      </c>
    </row>
    <row r="18" spans="1:12">
      <c r="B18" s="232"/>
      <c r="C18" s="232"/>
      <c r="D18" s="232"/>
      <c r="E18" s="236"/>
      <c r="F18" s="237"/>
      <c r="G18" s="238" t="s">
        <v>66</v>
      </c>
      <c r="H18" s="229"/>
      <c r="I18" s="229"/>
      <c r="J18" s="239"/>
      <c r="K18" s="240"/>
      <c r="L18" s="240"/>
    </row>
    <row r="19" spans="1:12">
      <c r="B19" s="232"/>
      <c r="C19" s="232"/>
      <c r="D19" s="232"/>
      <c r="E19" s="236"/>
      <c r="F19" s="241"/>
      <c r="G19" s="242" t="s">
        <v>454</v>
      </c>
      <c r="H19" s="229">
        <f>H21</f>
        <v>22196.34</v>
      </c>
      <c r="I19" s="229">
        <f>I21</f>
        <v>0</v>
      </c>
      <c r="J19" s="239">
        <f>J21</f>
        <v>0</v>
      </c>
      <c r="K19" s="239">
        <f>K21</f>
        <v>0</v>
      </c>
      <c r="L19" s="239">
        <f>L21</f>
        <v>0</v>
      </c>
    </row>
    <row r="20" spans="1:12" ht="21.6">
      <c r="B20" s="232"/>
      <c r="C20" s="232"/>
      <c r="D20" s="232"/>
      <c r="E20" s="236"/>
      <c r="F20" s="241"/>
      <c r="G20" s="238" t="s">
        <v>455</v>
      </c>
      <c r="H20" s="229"/>
      <c r="I20" s="229"/>
      <c r="J20" s="239"/>
      <c r="K20" s="239"/>
      <c r="L20" s="239"/>
    </row>
    <row r="21" spans="1:12">
      <c r="B21" s="232"/>
      <c r="C21" s="232"/>
      <c r="D21" s="232"/>
      <c r="E21" s="236"/>
      <c r="F21" s="241"/>
      <c r="G21" s="238" t="s">
        <v>456</v>
      </c>
      <c r="H21" s="229">
        <f t="shared" ref="H21:L23" si="3">H22</f>
        <v>22196.34</v>
      </c>
      <c r="I21" s="229">
        <f t="shared" si="3"/>
        <v>0</v>
      </c>
      <c r="J21" s="239">
        <f t="shared" si="3"/>
        <v>0</v>
      </c>
      <c r="K21" s="239">
        <f t="shared" si="3"/>
        <v>0</v>
      </c>
      <c r="L21" s="239">
        <f t="shared" si="3"/>
        <v>0</v>
      </c>
    </row>
    <row r="22" spans="1:12">
      <c r="B22" s="232"/>
      <c r="C22" s="232"/>
      <c r="D22" s="232"/>
      <c r="E22" s="236"/>
      <c r="F22" s="241"/>
      <c r="G22" s="238" t="s">
        <v>457</v>
      </c>
      <c r="H22" s="229">
        <f t="shared" si="3"/>
        <v>22196.34</v>
      </c>
      <c r="I22" s="229">
        <f t="shared" si="3"/>
        <v>0</v>
      </c>
      <c r="J22" s="239">
        <f t="shared" si="3"/>
        <v>0</v>
      </c>
      <c r="K22" s="239">
        <f t="shared" si="3"/>
        <v>0</v>
      </c>
      <c r="L22" s="239">
        <f t="shared" si="3"/>
        <v>0</v>
      </c>
    </row>
    <row r="23" spans="1:12">
      <c r="B23" s="232"/>
      <c r="C23" s="232"/>
      <c r="D23" s="232"/>
      <c r="E23" s="236"/>
      <c r="F23" s="241"/>
      <c r="G23" s="243" t="s">
        <v>663</v>
      </c>
      <c r="H23" s="229">
        <f>H24</f>
        <v>22196.34</v>
      </c>
      <c r="I23" s="229">
        <f t="shared" si="3"/>
        <v>0</v>
      </c>
      <c r="J23" s="229">
        <f t="shared" si="3"/>
        <v>0</v>
      </c>
      <c r="K23" s="229">
        <f t="shared" si="3"/>
        <v>0</v>
      </c>
      <c r="L23" s="229">
        <f t="shared" si="3"/>
        <v>0</v>
      </c>
    </row>
    <row r="24" spans="1:12">
      <c r="B24" s="232"/>
      <c r="C24" s="232"/>
      <c r="D24" s="232"/>
      <c r="E24" s="236"/>
      <c r="F24" s="244"/>
      <c r="G24" s="238" t="s">
        <v>519</v>
      </c>
      <c r="H24" s="229">
        <v>22196.34</v>
      </c>
      <c r="I24" s="229"/>
      <c r="J24" s="229"/>
      <c r="K24" s="229"/>
      <c r="L24" s="229"/>
    </row>
    <row r="25" spans="1:12" ht="36" customHeight="1">
      <c r="B25" s="232"/>
      <c r="C25" s="232"/>
      <c r="D25" s="232"/>
      <c r="E25" s="232"/>
      <c r="F25" s="397" t="str">
        <f>'[1]Tntesagitakan (2)'!B19</f>
        <v xml:space="preserve"> 11004</v>
      </c>
      <c r="G25" s="234" t="s">
        <v>461</v>
      </c>
      <c r="H25" s="235">
        <f>H27</f>
        <v>1680617.6</v>
      </c>
      <c r="I25" s="235">
        <f>I27</f>
        <v>1650941</v>
      </c>
      <c r="J25" s="235">
        <f t="shared" ref="J25:L25" si="4">J27</f>
        <v>1650941</v>
      </c>
      <c r="K25" s="235">
        <f t="shared" si="4"/>
        <v>2118656</v>
      </c>
      <c r="L25" s="235">
        <f t="shared" si="4"/>
        <v>2126656</v>
      </c>
    </row>
    <row r="26" spans="1:12">
      <c r="B26" s="232"/>
      <c r="C26" s="232"/>
      <c r="D26" s="232"/>
      <c r="E26" s="236"/>
      <c r="F26" s="237"/>
      <c r="G26" s="238" t="s">
        <v>66</v>
      </c>
      <c r="H26" s="229"/>
      <c r="I26" s="229"/>
      <c r="J26" s="239"/>
      <c r="K26" s="240"/>
      <c r="L26" s="240"/>
    </row>
    <row r="27" spans="1:12">
      <c r="B27" s="232"/>
      <c r="C27" s="232"/>
      <c r="D27" s="232"/>
      <c r="E27" s="236"/>
      <c r="F27" s="241"/>
      <c r="G27" s="242" t="s">
        <v>454</v>
      </c>
      <c r="H27" s="229">
        <f>H29</f>
        <v>1680617.6</v>
      </c>
      <c r="I27" s="229">
        <f>I29</f>
        <v>1650941</v>
      </c>
      <c r="J27" s="239">
        <f>J29</f>
        <v>1650941</v>
      </c>
      <c r="K27" s="239">
        <f>K29</f>
        <v>2118656</v>
      </c>
      <c r="L27" s="239">
        <f>L29</f>
        <v>2126656</v>
      </c>
    </row>
    <row r="28" spans="1:12" ht="21.6">
      <c r="B28" s="232"/>
      <c r="C28" s="232"/>
      <c r="D28" s="232"/>
      <c r="E28" s="236"/>
      <c r="F28" s="241"/>
      <c r="G28" s="238" t="s">
        <v>455</v>
      </c>
      <c r="H28" s="229"/>
      <c r="I28" s="229"/>
      <c r="J28" s="239"/>
      <c r="K28" s="239"/>
      <c r="L28" s="239"/>
    </row>
    <row r="29" spans="1:12">
      <c r="B29" s="232"/>
      <c r="C29" s="232"/>
      <c r="D29" s="232"/>
      <c r="E29" s="236"/>
      <c r="F29" s="241"/>
      <c r="G29" s="238" t="s">
        <v>456</v>
      </c>
      <c r="H29" s="229">
        <f t="shared" ref="H29:L32" si="5">H30</f>
        <v>1680617.6</v>
      </c>
      <c r="I29" s="229">
        <f t="shared" si="5"/>
        <v>1650941</v>
      </c>
      <c r="J29" s="239">
        <f t="shared" si="5"/>
        <v>1650941</v>
      </c>
      <c r="K29" s="239">
        <f t="shared" si="5"/>
        <v>2118656</v>
      </c>
      <c r="L29" s="239">
        <f t="shared" si="5"/>
        <v>2126656</v>
      </c>
    </row>
    <row r="30" spans="1:12">
      <c r="B30" s="232"/>
      <c r="C30" s="232"/>
      <c r="D30" s="232"/>
      <c r="E30" s="236"/>
      <c r="F30" s="241"/>
      <c r="G30" s="238" t="s">
        <v>457</v>
      </c>
      <c r="H30" s="229">
        <f t="shared" si="5"/>
        <v>1680617.6</v>
      </c>
      <c r="I30" s="229">
        <f t="shared" si="5"/>
        <v>1650941</v>
      </c>
      <c r="J30" s="239">
        <f>J31</f>
        <v>1650941</v>
      </c>
      <c r="K30" s="239">
        <f t="shared" si="5"/>
        <v>2118656</v>
      </c>
      <c r="L30" s="239">
        <f t="shared" si="5"/>
        <v>2126656</v>
      </c>
    </row>
    <row r="31" spans="1:12">
      <c r="B31" s="232"/>
      <c r="C31" s="232"/>
      <c r="D31" s="232"/>
      <c r="E31" s="236"/>
      <c r="F31" s="241"/>
      <c r="G31" s="243" t="s">
        <v>458</v>
      </c>
      <c r="H31" s="229">
        <f t="shared" si="5"/>
        <v>1680617.6</v>
      </c>
      <c r="I31" s="229">
        <f t="shared" si="5"/>
        <v>1650941</v>
      </c>
      <c r="J31" s="239">
        <f t="shared" si="5"/>
        <v>1650941</v>
      </c>
      <c r="K31" s="239">
        <f t="shared" si="5"/>
        <v>2118656</v>
      </c>
      <c r="L31" s="239">
        <f t="shared" si="5"/>
        <v>2126656</v>
      </c>
    </row>
    <row r="32" spans="1:12" ht="21.6">
      <c r="A32" s="1"/>
      <c r="B32" s="232"/>
      <c r="C32" s="232"/>
      <c r="D32" s="232"/>
      <c r="E32" s="236"/>
      <c r="F32" s="241"/>
      <c r="G32" s="242" t="s">
        <v>459</v>
      </c>
      <c r="H32" s="229">
        <f t="shared" si="5"/>
        <v>1680617.6</v>
      </c>
      <c r="I32" s="229">
        <f t="shared" si="5"/>
        <v>1650941</v>
      </c>
      <c r="J32" s="239">
        <f>J33</f>
        <v>1650941</v>
      </c>
      <c r="K32" s="239">
        <f t="shared" si="5"/>
        <v>2118656</v>
      </c>
      <c r="L32" s="239">
        <f t="shared" si="5"/>
        <v>2126656</v>
      </c>
    </row>
    <row r="33" spans="2:12" s="247" customFormat="1" ht="24" customHeight="1">
      <c r="B33" s="248"/>
      <c r="C33" s="248"/>
      <c r="D33" s="248"/>
      <c r="E33" s="249"/>
      <c r="F33" s="244"/>
      <c r="G33" s="238" t="s">
        <v>460</v>
      </c>
      <c r="H33" s="229">
        <v>1680617.6</v>
      </c>
      <c r="I33" s="229">
        <v>1650941</v>
      </c>
      <c r="J33" s="239">
        <v>1650941</v>
      </c>
      <c r="K33" s="239">
        <v>2118656</v>
      </c>
      <c r="L33" s="239">
        <v>2126656</v>
      </c>
    </row>
    <row r="34" spans="2:12" s="247" customFormat="1" ht="50.25" customHeight="1">
      <c r="B34" s="248"/>
      <c r="C34" s="248"/>
      <c r="D34" s="248"/>
      <c r="E34" s="249"/>
      <c r="F34" s="250">
        <v>11005</v>
      </c>
      <c r="G34" s="358" t="s">
        <v>462</v>
      </c>
      <c r="H34" s="235">
        <f>H36</f>
        <v>12685.5</v>
      </c>
      <c r="I34" s="235">
        <f>I36</f>
        <v>0</v>
      </c>
      <c r="J34" s="246">
        <f>J36</f>
        <v>0</v>
      </c>
      <c r="K34" s="235">
        <f t="shared" ref="K34:L34" si="6">K36</f>
        <v>0</v>
      </c>
      <c r="L34" s="235">
        <f t="shared" si="6"/>
        <v>0</v>
      </c>
    </row>
    <row r="35" spans="2:12" s="247" customFormat="1">
      <c r="B35" s="248"/>
      <c r="C35" s="248"/>
      <c r="D35" s="248"/>
      <c r="E35" s="249"/>
      <c r="F35" s="241"/>
      <c r="G35" s="251" t="s">
        <v>66</v>
      </c>
      <c r="H35" s="252"/>
      <c r="I35" s="252"/>
      <c r="J35" s="253"/>
      <c r="K35" s="254"/>
      <c r="L35" s="254"/>
    </row>
    <row r="36" spans="2:12" s="247" customFormat="1">
      <c r="B36" s="248"/>
      <c r="C36" s="248"/>
      <c r="D36" s="248"/>
      <c r="E36" s="249"/>
      <c r="F36" s="241"/>
      <c r="G36" s="255" t="s">
        <v>454</v>
      </c>
      <c r="H36" s="256">
        <f>H38</f>
        <v>12685.5</v>
      </c>
      <c r="I36" s="256">
        <f>I38</f>
        <v>0</v>
      </c>
      <c r="J36" s="256">
        <f t="shared" ref="J36:L36" si="7">J38</f>
        <v>0</v>
      </c>
      <c r="K36" s="256">
        <f t="shared" si="7"/>
        <v>0</v>
      </c>
      <c r="L36" s="256">
        <f t="shared" si="7"/>
        <v>0</v>
      </c>
    </row>
    <row r="37" spans="2:12" s="247" customFormat="1" ht="21.6">
      <c r="B37" s="248"/>
      <c r="C37" s="248"/>
      <c r="D37" s="248"/>
      <c r="E37" s="249"/>
      <c r="F37" s="241"/>
      <c r="G37" s="238" t="s">
        <v>455</v>
      </c>
      <c r="H37" s="229"/>
      <c r="I37" s="229"/>
      <c r="J37" s="239">
        <v>0</v>
      </c>
      <c r="K37" s="240">
        <v>0</v>
      </c>
      <c r="L37" s="240">
        <v>0</v>
      </c>
    </row>
    <row r="38" spans="2:12" s="247" customFormat="1">
      <c r="B38" s="248"/>
      <c r="C38" s="248"/>
      <c r="D38" s="248"/>
      <c r="E38" s="249"/>
      <c r="F38" s="241"/>
      <c r="G38" s="255" t="s">
        <v>456</v>
      </c>
      <c r="H38" s="256">
        <f>H39</f>
        <v>12685.5</v>
      </c>
      <c r="I38" s="256">
        <f>I39</f>
        <v>0</v>
      </c>
      <c r="J38" s="256">
        <f t="shared" ref="J38:L38" si="8">J39</f>
        <v>0</v>
      </c>
      <c r="K38" s="256">
        <f t="shared" si="8"/>
        <v>0</v>
      </c>
      <c r="L38" s="256">
        <f t="shared" si="8"/>
        <v>0</v>
      </c>
    </row>
    <row r="39" spans="2:12" s="247" customFormat="1">
      <c r="B39" s="248"/>
      <c r="C39" s="248"/>
      <c r="D39" s="248"/>
      <c r="E39" s="249"/>
      <c r="F39" s="241"/>
      <c r="G39" s="255" t="s">
        <v>457</v>
      </c>
      <c r="H39" s="256">
        <f>H40+H43</f>
        <v>12685.5</v>
      </c>
      <c r="I39" s="256">
        <f>I40+I43</f>
        <v>0</v>
      </c>
      <c r="J39" s="256">
        <f t="shared" ref="J39:L39" si="9">J40+J43</f>
        <v>0</v>
      </c>
      <c r="K39" s="256">
        <f t="shared" si="9"/>
        <v>0</v>
      </c>
      <c r="L39" s="256">
        <f t="shared" si="9"/>
        <v>0</v>
      </c>
    </row>
    <row r="40" spans="2:12" s="247" customFormat="1">
      <c r="B40" s="248"/>
      <c r="C40" s="248"/>
      <c r="D40" s="248"/>
      <c r="E40" s="249"/>
      <c r="F40" s="241"/>
      <c r="G40" s="255" t="s">
        <v>463</v>
      </c>
      <c r="H40" s="256">
        <f>H41</f>
        <v>5523.7</v>
      </c>
      <c r="I40" s="256">
        <f>I41</f>
        <v>0</v>
      </c>
      <c r="J40" s="256">
        <f t="shared" ref="J40:L40" si="10">J41</f>
        <v>0</v>
      </c>
      <c r="K40" s="256">
        <f t="shared" si="10"/>
        <v>0</v>
      </c>
      <c r="L40" s="256">
        <f t="shared" si="10"/>
        <v>0</v>
      </c>
    </row>
    <row r="41" spans="2:12" s="247" customFormat="1">
      <c r="B41" s="248"/>
      <c r="C41" s="248"/>
      <c r="D41" s="248"/>
      <c r="E41" s="249"/>
      <c r="F41" s="241"/>
      <c r="G41" s="238" t="s">
        <v>464</v>
      </c>
      <c r="H41" s="229">
        <f>H42</f>
        <v>5523.7</v>
      </c>
      <c r="I41" s="229">
        <f>I42</f>
        <v>0</v>
      </c>
      <c r="J41" s="239">
        <v>0</v>
      </c>
      <c r="K41" s="240">
        <v>0</v>
      </c>
      <c r="L41" s="240">
        <v>0</v>
      </c>
    </row>
    <row r="42" spans="2:12" s="247" customFormat="1">
      <c r="B42" s="248"/>
      <c r="C42" s="248"/>
      <c r="D42" s="248"/>
      <c r="E42" s="249"/>
      <c r="F42" s="241"/>
      <c r="G42" s="238" t="s">
        <v>465</v>
      </c>
      <c r="H42" s="229">
        <v>5523.7</v>
      </c>
      <c r="I42" s="229"/>
      <c r="J42" s="239">
        <v>0</v>
      </c>
      <c r="K42" s="240">
        <v>0</v>
      </c>
      <c r="L42" s="240">
        <v>0</v>
      </c>
    </row>
    <row r="43" spans="2:12" s="247" customFormat="1" ht="22.8">
      <c r="B43" s="248"/>
      <c r="C43" s="248"/>
      <c r="D43" s="248"/>
      <c r="E43" s="249"/>
      <c r="F43" s="241"/>
      <c r="G43" s="255" t="s">
        <v>466</v>
      </c>
      <c r="H43" s="256">
        <f>H44+H47+H51</f>
        <v>7161.8</v>
      </c>
      <c r="I43" s="256">
        <f>I44+I47+I51</f>
        <v>0</v>
      </c>
      <c r="J43" s="257">
        <v>0</v>
      </c>
      <c r="K43" s="258">
        <v>0</v>
      </c>
      <c r="L43" s="258">
        <v>0</v>
      </c>
    </row>
    <row r="44" spans="2:12" s="247" customFormat="1">
      <c r="B44" s="248"/>
      <c r="C44" s="248"/>
      <c r="D44" s="248"/>
      <c r="E44" s="249"/>
      <c r="F44" s="245"/>
      <c r="G44" s="259" t="s">
        <v>467</v>
      </c>
      <c r="H44" s="235">
        <f>H45+H46</f>
        <v>4201.6000000000004</v>
      </c>
      <c r="I44" s="235">
        <f>I45+I46</f>
        <v>0</v>
      </c>
      <c r="J44" s="257">
        <v>0</v>
      </c>
      <c r="K44" s="258">
        <v>0</v>
      </c>
      <c r="L44" s="258">
        <v>0</v>
      </c>
    </row>
    <row r="45" spans="2:12" s="247" customFormat="1">
      <c r="B45" s="248"/>
      <c r="C45" s="248"/>
      <c r="D45" s="248"/>
      <c r="E45" s="249"/>
      <c r="F45" s="241"/>
      <c r="G45" s="238" t="s">
        <v>468</v>
      </c>
      <c r="H45" s="229"/>
      <c r="I45" s="229"/>
      <c r="J45" s="239">
        <v>0</v>
      </c>
      <c r="K45" s="240">
        <v>0</v>
      </c>
      <c r="L45" s="240">
        <v>0</v>
      </c>
    </row>
    <row r="46" spans="2:12" s="247" customFormat="1">
      <c r="B46" s="248"/>
      <c r="C46" s="248"/>
      <c r="D46" s="248"/>
      <c r="E46" s="249"/>
      <c r="F46" s="241"/>
      <c r="G46" s="238" t="s">
        <v>469</v>
      </c>
      <c r="H46" s="229">
        <v>4201.6000000000004</v>
      </c>
      <c r="I46" s="229"/>
      <c r="J46" s="239">
        <v>0</v>
      </c>
      <c r="K46" s="240">
        <v>0</v>
      </c>
      <c r="L46" s="240">
        <v>0</v>
      </c>
    </row>
    <row r="47" spans="2:12" s="247" customFormat="1">
      <c r="B47" s="248"/>
      <c r="C47" s="248"/>
      <c r="D47" s="248"/>
      <c r="E47" s="249"/>
      <c r="F47" s="245"/>
      <c r="G47" s="259" t="s">
        <v>470</v>
      </c>
      <c r="H47" s="235">
        <f>H49+H50+H48</f>
        <v>2622.5</v>
      </c>
      <c r="I47" s="235">
        <f>I49+I50+I48</f>
        <v>0</v>
      </c>
      <c r="J47" s="257">
        <v>0</v>
      </c>
      <c r="K47" s="258">
        <v>0</v>
      </c>
      <c r="L47" s="258">
        <v>0</v>
      </c>
    </row>
    <row r="48" spans="2:12" s="247" customFormat="1">
      <c r="B48" s="248"/>
      <c r="C48" s="248"/>
      <c r="D48" s="248"/>
      <c r="E48" s="249"/>
      <c r="F48" s="245"/>
      <c r="G48" s="238" t="s">
        <v>471</v>
      </c>
      <c r="H48" s="229"/>
      <c r="I48" s="235"/>
      <c r="J48" s="239">
        <v>0</v>
      </c>
      <c r="K48" s="240">
        <v>0</v>
      </c>
      <c r="L48" s="240">
        <v>0</v>
      </c>
    </row>
    <row r="49" spans="2:12" s="247" customFormat="1">
      <c r="B49" s="248"/>
      <c r="C49" s="248"/>
      <c r="D49" s="248"/>
      <c r="E49" s="249"/>
      <c r="F49" s="241"/>
      <c r="G49" s="238" t="s">
        <v>472</v>
      </c>
      <c r="H49" s="229">
        <v>2000</v>
      </c>
      <c r="I49" s="229"/>
      <c r="J49" s="239">
        <v>0</v>
      </c>
      <c r="K49" s="240">
        <v>0</v>
      </c>
      <c r="L49" s="240">
        <v>0</v>
      </c>
    </row>
    <row r="50" spans="2:12" s="247" customFormat="1">
      <c r="B50" s="248"/>
      <c r="C50" s="248"/>
      <c r="D50" s="248"/>
      <c r="E50" s="249"/>
      <c r="F50" s="241"/>
      <c r="G50" s="238" t="s">
        <v>473</v>
      </c>
      <c r="H50" s="229">
        <v>622.5</v>
      </c>
      <c r="I50" s="229"/>
      <c r="J50" s="239">
        <v>0</v>
      </c>
      <c r="K50" s="240">
        <v>0</v>
      </c>
      <c r="L50" s="240">
        <v>0</v>
      </c>
    </row>
    <row r="51" spans="2:12" s="247" customFormat="1">
      <c r="B51" s="248"/>
      <c r="C51" s="248"/>
      <c r="D51" s="248"/>
      <c r="E51" s="249"/>
      <c r="F51" s="241"/>
      <c r="G51" s="259" t="s">
        <v>474</v>
      </c>
      <c r="H51" s="235">
        <f>SUM(H52:H53)</f>
        <v>337.7</v>
      </c>
      <c r="I51" s="235">
        <f>SUM(I52:I53)</f>
        <v>0</v>
      </c>
      <c r="J51" s="257">
        <v>0</v>
      </c>
      <c r="K51" s="258">
        <v>0</v>
      </c>
      <c r="L51" s="258">
        <v>0</v>
      </c>
    </row>
    <row r="52" spans="2:12" s="247" customFormat="1" ht="14.4" customHeight="1">
      <c r="B52" s="248"/>
      <c r="C52" s="248"/>
      <c r="D52" s="248"/>
      <c r="E52" s="249"/>
      <c r="F52" s="241"/>
      <c r="G52" s="238" t="s">
        <v>475</v>
      </c>
      <c r="H52" s="260">
        <v>73.3</v>
      </c>
      <c r="I52" s="260"/>
      <c r="J52" s="239">
        <v>0</v>
      </c>
      <c r="K52" s="240">
        <v>0</v>
      </c>
      <c r="L52" s="240">
        <v>0</v>
      </c>
    </row>
    <row r="53" spans="2:12" s="247" customFormat="1">
      <c r="B53" s="248"/>
      <c r="C53" s="248"/>
      <c r="D53" s="248"/>
      <c r="E53" s="249"/>
      <c r="F53" s="241"/>
      <c r="G53" s="238" t="s">
        <v>477</v>
      </c>
      <c r="H53" s="229">
        <v>264.39999999999998</v>
      </c>
      <c r="I53" s="229"/>
      <c r="J53" s="239">
        <v>0</v>
      </c>
      <c r="K53" s="240">
        <v>0</v>
      </c>
      <c r="L53" s="240">
        <v>0</v>
      </c>
    </row>
    <row r="54" spans="2:12" s="247" customFormat="1" ht="34.200000000000003">
      <c r="B54" s="248"/>
      <c r="C54" s="248"/>
      <c r="D54" s="248"/>
      <c r="E54" s="249"/>
      <c r="F54" s="250">
        <v>11006</v>
      </c>
      <c r="G54" s="261" t="s">
        <v>476</v>
      </c>
      <c r="H54" s="235">
        <f>H56</f>
        <v>71481.19</v>
      </c>
      <c r="I54" s="235">
        <f t="shared" ref="I54:L54" si="11">I56</f>
        <v>22953</v>
      </c>
      <c r="J54" s="235">
        <f>J56</f>
        <v>0</v>
      </c>
      <c r="K54" s="262">
        <f t="shared" si="11"/>
        <v>0</v>
      </c>
      <c r="L54" s="262">
        <f t="shared" si="11"/>
        <v>0</v>
      </c>
    </row>
    <row r="55" spans="2:12" s="247" customFormat="1">
      <c r="B55" s="248"/>
      <c r="C55" s="248"/>
      <c r="D55" s="248"/>
      <c r="E55" s="249"/>
      <c r="F55" s="241"/>
      <c r="G55" s="251" t="s">
        <v>66</v>
      </c>
      <c r="H55" s="252"/>
      <c r="I55" s="252"/>
      <c r="J55" s="253"/>
      <c r="K55" s="263">
        <v>0</v>
      </c>
      <c r="L55" s="263">
        <v>0</v>
      </c>
    </row>
    <row r="56" spans="2:12" s="247" customFormat="1">
      <c r="B56" s="248"/>
      <c r="C56" s="248"/>
      <c r="D56" s="248"/>
      <c r="E56" s="249"/>
      <c r="F56" s="241"/>
      <c r="G56" s="238" t="s">
        <v>454</v>
      </c>
      <c r="H56" s="229">
        <f>H58</f>
        <v>71481.19</v>
      </c>
      <c r="I56" s="229">
        <f t="shared" ref="I56:J56" si="12">I58</f>
        <v>22953</v>
      </c>
      <c r="J56" s="229">
        <f t="shared" si="12"/>
        <v>0</v>
      </c>
      <c r="K56" s="263">
        <v>0</v>
      </c>
      <c r="L56" s="263">
        <v>0</v>
      </c>
    </row>
    <row r="57" spans="2:12" s="247" customFormat="1" ht="21.6">
      <c r="B57" s="248"/>
      <c r="C57" s="248"/>
      <c r="D57" s="248"/>
      <c r="E57" s="249"/>
      <c r="F57" s="241"/>
      <c r="G57" s="238" t="s">
        <v>455</v>
      </c>
      <c r="H57" s="229"/>
      <c r="I57" s="229"/>
      <c r="J57" s="239"/>
      <c r="K57" s="263">
        <v>0</v>
      </c>
      <c r="L57" s="263">
        <v>0</v>
      </c>
    </row>
    <row r="58" spans="2:12" s="247" customFormat="1">
      <c r="B58" s="248"/>
      <c r="C58" s="248"/>
      <c r="D58" s="248"/>
      <c r="E58" s="249"/>
      <c r="F58" s="245"/>
      <c r="G58" s="259" t="s">
        <v>456</v>
      </c>
      <c r="H58" s="235">
        <f>H59</f>
        <v>71481.19</v>
      </c>
      <c r="I58" s="235">
        <f t="shared" ref="I58:J58" si="13">I59</f>
        <v>22953</v>
      </c>
      <c r="J58" s="235">
        <f t="shared" si="13"/>
        <v>0</v>
      </c>
      <c r="K58" s="263">
        <v>0</v>
      </c>
      <c r="L58" s="263">
        <v>0</v>
      </c>
    </row>
    <row r="59" spans="2:12" s="247" customFormat="1">
      <c r="B59" s="248"/>
      <c r="C59" s="248"/>
      <c r="D59" s="248"/>
      <c r="E59" s="249"/>
      <c r="F59" s="245"/>
      <c r="G59" s="259" t="s">
        <v>457</v>
      </c>
      <c r="H59" s="235">
        <f>H60+H63</f>
        <v>71481.19</v>
      </c>
      <c r="I59" s="235">
        <f t="shared" ref="I59:J59" si="14">I60+I63</f>
        <v>22953</v>
      </c>
      <c r="J59" s="235">
        <f t="shared" si="14"/>
        <v>0</v>
      </c>
      <c r="K59" s="263">
        <v>0</v>
      </c>
      <c r="L59" s="263">
        <v>0</v>
      </c>
    </row>
    <row r="60" spans="2:12" s="247" customFormat="1">
      <c r="B60" s="248"/>
      <c r="C60" s="248"/>
      <c r="D60" s="248"/>
      <c r="E60" s="249"/>
      <c r="F60" s="245"/>
      <c r="G60" s="259" t="s">
        <v>463</v>
      </c>
      <c r="H60" s="235">
        <f>H61</f>
        <v>44306.59</v>
      </c>
      <c r="I60" s="235">
        <f t="shared" ref="I60:J60" si="15">I61</f>
        <v>16554.599999999999</v>
      </c>
      <c r="J60" s="235">
        <f t="shared" si="15"/>
        <v>0</v>
      </c>
      <c r="K60" s="263">
        <v>0</v>
      </c>
      <c r="L60" s="263">
        <v>0</v>
      </c>
    </row>
    <row r="61" spans="2:12" s="247" customFormat="1" ht="19.5" customHeight="1">
      <c r="B61" s="248"/>
      <c r="C61" s="248"/>
      <c r="D61" s="248"/>
      <c r="E61" s="249"/>
      <c r="F61" s="241"/>
      <c r="G61" s="238" t="s">
        <v>464</v>
      </c>
      <c r="H61" s="229">
        <f>H62</f>
        <v>44306.59</v>
      </c>
      <c r="I61" s="229">
        <f>I62</f>
        <v>16554.599999999999</v>
      </c>
      <c r="J61" s="229">
        <f>J62</f>
        <v>0</v>
      </c>
      <c r="K61" s="263">
        <v>0</v>
      </c>
      <c r="L61" s="263">
        <v>0</v>
      </c>
    </row>
    <row r="62" spans="2:12" s="247" customFormat="1">
      <c r="B62" s="248"/>
      <c r="C62" s="248"/>
      <c r="D62" s="248"/>
      <c r="E62" s="249"/>
      <c r="F62" s="241"/>
      <c r="G62" s="238" t="s">
        <v>465</v>
      </c>
      <c r="H62" s="229">
        <v>44306.59</v>
      </c>
      <c r="I62" s="229">
        <v>16554.599999999999</v>
      </c>
      <c r="J62" s="239"/>
      <c r="K62" s="263">
        <v>0</v>
      </c>
      <c r="L62" s="263">
        <v>0</v>
      </c>
    </row>
    <row r="63" spans="2:12" s="247" customFormat="1" ht="22.8">
      <c r="B63" s="248"/>
      <c r="C63" s="248"/>
      <c r="D63" s="248"/>
      <c r="E63" s="249"/>
      <c r="F63" s="245"/>
      <c r="G63" s="259" t="s">
        <v>466</v>
      </c>
      <c r="H63" s="235">
        <f>H64+H68</f>
        <v>27174.6</v>
      </c>
      <c r="I63" s="235">
        <f>I64+I68</f>
        <v>6398.4</v>
      </c>
      <c r="J63" s="235">
        <f>J64+J68</f>
        <v>0</v>
      </c>
      <c r="K63" s="263">
        <v>0</v>
      </c>
      <c r="L63" s="263">
        <v>0</v>
      </c>
    </row>
    <row r="64" spans="2:12" s="247" customFormat="1">
      <c r="B64" s="248"/>
      <c r="C64" s="248"/>
      <c r="D64" s="248"/>
      <c r="E64" s="249"/>
      <c r="F64" s="245"/>
      <c r="G64" s="259" t="s">
        <v>470</v>
      </c>
      <c r="H64" s="235">
        <f>H65+H66+H67</f>
        <v>27174.6</v>
      </c>
      <c r="I64" s="235">
        <f>I65+I66+I67</f>
        <v>6398.4</v>
      </c>
      <c r="J64" s="235">
        <f>J65+J67</f>
        <v>0</v>
      </c>
      <c r="K64" s="263">
        <v>0</v>
      </c>
      <c r="L64" s="263">
        <v>0</v>
      </c>
    </row>
    <row r="65" spans="2:12" s="247" customFormat="1">
      <c r="B65" s="248"/>
      <c r="C65" s="248"/>
      <c r="D65" s="248"/>
      <c r="E65" s="249"/>
      <c r="F65" s="241"/>
      <c r="G65" s="238" t="s">
        <v>471</v>
      </c>
      <c r="H65" s="229">
        <v>15596.6</v>
      </c>
      <c r="I65" s="229">
        <v>2777</v>
      </c>
      <c r="J65" s="239"/>
      <c r="K65" s="263">
        <v>0</v>
      </c>
      <c r="L65" s="263">
        <v>0</v>
      </c>
    </row>
    <row r="66" spans="2:12" s="247" customFormat="1">
      <c r="B66" s="248"/>
      <c r="C66" s="248"/>
      <c r="D66" s="248"/>
      <c r="E66" s="249"/>
      <c r="F66" s="241"/>
      <c r="G66" s="238" t="s">
        <v>472</v>
      </c>
      <c r="H66" s="229">
        <v>6680</v>
      </c>
      <c r="I66" s="229">
        <v>2810.4</v>
      </c>
      <c r="J66" s="239"/>
      <c r="K66" s="263">
        <v>0</v>
      </c>
      <c r="L66" s="263">
        <v>0</v>
      </c>
    </row>
    <row r="67" spans="2:12" s="247" customFormat="1">
      <c r="B67" s="248"/>
      <c r="C67" s="248"/>
      <c r="D67" s="248"/>
      <c r="E67" s="249"/>
      <c r="F67" s="241"/>
      <c r="G67" s="238" t="s">
        <v>477</v>
      </c>
      <c r="H67" s="229">
        <v>4898</v>
      </c>
      <c r="I67" s="229">
        <v>811</v>
      </c>
      <c r="J67" s="239"/>
      <c r="K67" s="263">
        <v>0</v>
      </c>
      <c r="L67" s="263">
        <v>0</v>
      </c>
    </row>
    <row r="68" spans="2:12" s="247" customFormat="1">
      <c r="B68" s="248"/>
      <c r="C68" s="248"/>
      <c r="D68" s="248"/>
      <c r="E68" s="249"/>
      <c r="F68" s="245"/>
      <c r="G68" s="259" t="s">
        <v>474</v>
      </c>
      <c r="H68" s="235">
        <f>H69</f>
        <v>0</v>
      </c>
      <c r="I68" s="235">
        <f>I69</f>
        <v>0</v>
      </c>
      <c r="J68" s="235">
        <f>J69</f>
        <v>0</v>
      </c>
      <c r="K68" s="263">
        <v>0</v>
      </c>
      <c r="L68" s="263">
        <v>0</v>
      </c>
    </row>
    <row r="69" spans="2:12" s="247" customFormat="1">
      <c r="B69" s="248"/>
      <c r="C69" s="248"/>
      <c r="D69" s="248"/>
      <c r="E69" s="249"/>
      <c r="F69" s="241"/>
      <c r="G69" s="238" t="s">
        <v>478</v>
      </c>
      <c r="H69" s="260"/>
      <c r="I69" s="260"/>
      <c r="J69" s="264">
        <v>0</v>
      </c>
      <c r="K69" s="263">
        <v>0</v>
      </c>
      <c r="L69" s="263">
        <v>0</v>
      </c>
    </row>
    <row r="70" spans="2:12" s="247" customFormat="1" ht="35.25" customHeight="1">
      <c r="B70" s="248"/>
      <c r="C70" s="248"/>
      <c r="D70" s="248"/>
      <c r="E70" s="249"/>
      <c r="F70" s="250">
        <v>11009</v>
      </c>
      <c r="G70" s="261" t="s">
        <v>479</v>
      </c>
      <c r="H70" s="235">
        <f>+H72</f>
        <v>161528.21000000002</v>
      </c>
      <c r="I70" s="235">
        <f t="shared" ref="I70:L70" si="16">+I72</f>
        <v>1948700.1</v>
      </c>
      <c r="J70" s="235">
        <f>+J72</f>
        <v>994840.04100000008</v>
      </c>
      <c r="K70" s="235">
        <f t="shared" si="16"/>
        <v>356972.31124700001</v>
      </c>
      <c r="L70" s="235">
        <f t="shared" si="16"/>
        <v>0</v>
      </c>
    </row>
    <row r="71" spans="2:12" s="247" customFormat="1">
      <c r="B71" s="248"/>
      <c r="C71" s="248"/>
      <c r="D71" s="248"/>
      <c r="E71" s="249"/>
      <c r="F71" s="241"/>
      <c r="G71" s="251" t="s">
        <v>66</v>
      </c>
      <c r="H71" s="252"/>
      <c r="I71" s="252"/>
      <c r="J71" s="252"/>
      <c r="K71" s="265"/>
      <c r="L71" s="265"/>
    </row>
    <row r="72" spans="2:12" s="247" customFormat="1">
      <c r="B72" s="248"/>
      <c r="C72" s="248"/>
      <c r="D72" s="248"/>
      <c r="E72" s="249"/>
      <c r="F72" s="241"/>
      <c r="G72" s="238" t="s">
        <v>454</v>
      </c>
      <c r="H72" s="256">
        <f>+H74</f>
        <v>161528.21000000002</v>
      </c>
      <c r="I72" s="256">
        <f t="shared" ref="I72:L72" si="17">+I74</f>
        <v>1948700.1</v>
      </c>
      <c r="J72" s="256">
        <f t="shared" si="17"/>
        <v>994840.04100000008</v>
      </c>
      <c r="K72" s="256">
        <f>+K74</f>
        <v>356972.31124700001</v>
      </c>
      <c r="L72" s="256">
        <f t="shared" si="17"/>
        <v>0</v>
      </c>
    </row>
    <row r="73" spans="2:12" s="247" customFormat="1" ht="21.6">
      <c r="B73" s="248"/>
      <c r="C73" s="248"/>
      <c r="D73" s="248"/>
      <c r="E73" s="249"/>
      <c r="F73" s="241"/>
      <c r="G73" s="238" t="s">
        <v>455</v>
      </c>
      <c r="H73" s="256"/>
      <c r="I73" s="256"/>
      <c r="J73" s="256"/>
      <c r="K73" s="266"/>
      <c r="L73" s="266"/>
    </row>
    <row r="74" spans="2:12" s="247" customFormat="1">
      <c r="B74" s="248"/>
      <c r="C74" s="248"/>
      <c r="D74" s="248"/>
      <c r="E74" s="249"/>
      <c r="F74" s="241"/>
      <c r="G74" s="238" t="s">
        <v>456</v>
      </c>
      <c r="H74" s="256">
        <f>+H75</f>
        <v>161528.21000000002</v>
      </c>
      <c r="I74" s="256">
        <f t="shared" ref="I74:L74" si="18">+I75</f>
        <v>1948700.1</v>
      </c>
      <c r="J74" s="256">
        <f t="shared" si="18"/>
        <v>994840.04100000008</v>
      </c>
      <c r="K74" s="256">
        <f>+K75</f>
        <v>356972.31124700001</v>
      </c>
      <c r="L74" s="256">
        <f t="shared" si="18"/>
        <v>0</v>
      </c>
    </row>
    <row r="75" spans="2:12" s="247" customFormat="1">
      <c r="B75" s="248"/>
      <c r="C75" s="248"/>
      <c r="D75" s="248"/>
      <c r="E75" s="249"/>
      <c r="F75" s="241"/>
      <c r="G75" s="238" t="s">
        <v>457</v>
      </c>
      <c r="H75" s="256">
        <f>H76+H79+H93</f>
        <v>161528.21000000002</v>
      </c>
      <c r="I75" s="256">
        <f t="shared" ref="I75:L75" si="19">I76+I79+I93</f>
        <v>1948700.1</v>
      </c>
      <c r="J75" s="256">
        <f t="shared" si="19"/>
        <v>994840.04100000008</v>
      </c>
      <c r="K75" s="256">
        <f t="shared" si="19"/>
        <v>356972.31124700001</v>
      </c>
      <c r="L75" s="256">
        <f t="shared" si="19"/>
        <v>0</v>
      </c>
    </row>
    <row r="76" spans="2:12" s="247" customFormat="1">
      <c r="B76" s="248"/>
      <c r="C76" s="248"/>
      <c r="D76" s="248"/>
      <c r="E76" s="249"/>
      <c r="F76" s="245"/>
      <c r="G76" s="259" t="s">
        <v>463</v>
      </c>
      <c r="H76" s="235">
        <f>H77</f>
        <v>44713.440000000002</v>
      </c>
      <c r="I76" s="235">
        <f t="shared" ref="I76:L77" si="20">I77</f>
        <v>81626.600000000006</v>
      </c>
      <c r="J76" s="235">
        <f t="shared" si="20"/>
        <v>69817.326000000001</v>
      </c>
      <c r="K76" s="256">
        <f t="shared" si="20"/>
        <v>74296.748023599997</v>
      </c>
      <c r="L76" s="256">
        <f t="shared" si="20"/>
        <v>0</v>
      </c>
    </row>
    <row r="77" spans="2:12" s="247" customFormat="1">
      <c r="B77" s="248"/>
      <c r="C77" s="248"/>
      <c r="D77" s="248"/>
      <c r="E77" s="249"/>
      <c r="F77" s="241"/>
      <c r="G77" s="255" t="s">
        <v>464</v>
      </c>
      <c r="H77" s="256">
        <f>H78</f>
        <v>44713.440000000002</v>
      </c>
      <c r="I77" s="256">
        <f t="shared" si="20"/>
        <v>81626.600000000006</v>
      </c>
      <c r="J77" s="256">
        <f t="shared" si="20"/>
        <v>69817.326000000001</v>
      </c>
      <c r="K77" s="256">
        <f t="shared" si="20"/>
        <v>74296.748023599997</v>
      </c>
      <c r="L77" s="256">
        <f t="shared" si="20"/>
        <v>0</v>
      </c>
    </row>
    <row r="78" spans="2:12" s="247" customFormat="1">
      <c r="B78" s="248"/>
      <c r="C78" s="248"/>
      <c r="D78" s="248"/>
      <c r="E78" s="249"/>
      <c r="F78" s="241"/>
      <c r="G78" s="238" t="s">
        <v>465</v>
      </c>
      <c r="H78" s="229">
        <v>44713.440000000002</v>
      </c>
      <c r="I78" s="229">
        <v>81626.600000000006</v>
      </c>
      <c r="J78" s="239">
        <f>69817326/1000</f>
        <v>69817.326000000001</v>
      </c>
      <c r="K78" s="239">
        <f>74296748.0236/1000</f>
        <v>74296.748023599997</v>
      </c>
      <c r="L78" s="239"/>
    </row>
    <row r="79" spans="2:12" s="247" customFormat="1" ht="22.8">
      <c r="B79" s="248"/>
      <c r="C79" s="248"/>
      <c r="D79" s="248"/>
      <c r="E79" s="249"/>
      <c r="F79" s="245"/>
      <c r="G79" s="259" t="s">
        <v>466</v>
      </c>
      <c r="H79" s="235">
        <f>H80+H82+H87+H89</f>
        <v>114357.1</v>
      </c>
      <c r="I79" s="235">
        <f>I80+I82+I87+I89</f>
        <v>1861335.2</v>
      </c>
      <c r="J79" s="235">
        <f t="shared" ref="J79:L79" si="21">J80+J82+J87+J89</f>
        <v>921611.44500000007</v>
      </c>
      <c r="K79" s="235">
        <f t="shared" si="21"/>
        <v>279030.80316280003</v>
      </c>
      <c r="L79" s="235">
        <f t="shared" si="21"/>
        <v>0</v>
      </c>
    </row>
    <row r="80" spans="2:12" s="247" customFormat="1">
      <c r="B80" s="248"/>
      <c r="C80" s="248"/>
      <c r="D80" s="248"/>
      <c r="E80" s="249"/>
      <c r="F80" s="241"/>
      <c r="G80" s="255" t="s">
        <v>467</v>
      </c>
      <c r="H80" s="256">
        <f>H81</f>
        <v>1166.0999999999999</v>
      </c>
      <c r="I80" s="256">
        <f>I81</f>
        <v>956.3</v>
      </c>
      <c r="J80" s="256">
        <f t="shared" ref="J80:L80" si="22">J81</f>
        <v>2084.665</v>
      </c>
      <c r="K80" s="235">
        <f t="shared" si="22"/>
        <v>1744.8342826000001</v>
      </c>
      <c r="L80" s="235">
        <f t="shared" si="22"/>
        <v>0</v>
      </c>
    </row>
    <row r="81" spans="2:12" s="247" customFormat="1">
      <c r="B81" s="248"/>
      <c r="C81" s="248"/>
      <c r="D81" s="248"/>
      <c r="E81" s="249"/>
      <c r="F81" s="241"/>
      <c r="G81" s="238" t="s">
        <v>468</v>
      </c>
      <c r="H81" s="229">
        <v>1166.0999999999999</v>
      </c>
      <c r="I81" s="229">
        <v>956.3</v>
      </c>
      <c r="J81" s="239">
        <f>2084665/1000</f>
        <v>2084.665</v>
      </c>
      <c r="K81" s="239">
        <f>1744834.2826/1000</f>
        <v>1744.8342826000001</v>
      </c>
      <c r="L81" s="239"/>
    </row>
    <row r="82" spans="2:12" s="247" customFormat="1">
      <c r="B82" s="248"/>
      <c r="C82" s="248"/>
      <c r="D82" s="248"/>
      <c r="E82" s="249"/>
      <c r="F82" s="241"/>
      <c r="G82" s="255" t="s">
        <v>470</v>
      </c>
      <c r="H82" s="256">
        <f>H83+H84+H85+H86</f>
        <v>81420.149999999994</v>
      </c>
      <c r="I82" s="256">
        <f>I83+I84+I85+I86</f>
        <v>192040.1</v>
      </c>
      <c r="J82" s="256">
        <f t="shared" ref="J82:L82" si="23">J83+J84+J85+J86</f>
        <v>249022.71</v>
      </c>
      <c r="K82" s="256">
        <f t="shared" si="23"/>
        <v>201181.61162540002</v>
      </c>
      <c r="L82" s="256">
        <f t="shared" si="23"/>
        <v>0</v>
      </c>
    </row>
    <row r="83" spans="2:12" s="247" customFormat="1">
      <c r="B83" s="248"/>
      <c r="C83" s="248"/>
      <c r="D83" s="248"/>
      <c r="E83" s="249"/>
      <c r="F83" s="241"/>
      <c r="G83" s="238" t="s">
        <v>471</v>
      </c>
      <c r="H83" s="229">
        <v>476.43</v>
      </c>
      <c r="I83" s="229">
        <v>1912.8</v>
      </c>
      <c r="J83" s="239">
        <f>2653210/1000</f>
        <v>2653.21</v>
      </c>
      <c r="K83" s="239">
        <f>2376703.8247/1000</f>
        <v>2376.7038247</v>
      </c>
      <c r="L83" s="239"/>
    </row>
    <row r="84" spans="2:12" s="247" customFormat="1">
      <c r="B84" s="248"/>
      <c r="C84" s="248"/>
      <c r="D84" s="248"/>
      <c r="E84" s="249"/>
      <c r="F84" s="241"/>
      <c r="G84" s="238" t="s">
        <v>472</v>
      </c>
      <c r="H84" s="229">
        <v>78548.479999999996</v>
      </c>
      <c r="I84" s="229">
        <v>180563.6</v>
      </c>
      <c r="J84" s="239">
        <f>235377630/1000</f>
        <v>235377.63</v>
      </c>
      <c r="K84" s="239">
        <f>187455695.8973/1000</f>
        <v>187455.6958973</v>
      </c>
      <c r="L84" s="239"/>
    </row>
    <row r="85" spans="2:12" s="247" customFormat="1">
      <c r="B85" s="248"/>
      <c r="C85" s="248"/>
      <c r="D85" s="248"/>
      <c r="E85" s="249"/>
      <c r="F85" s="241"/>
      <c r="G85" s="238" t="s">
        <v>473</v>
      </c>
      <c r="H85" s="229">
        <v>419.61</v>
      </c>
      <c r="I85" s="229">
        <v>1530.2</v>
      </c>
      <c r="J85" s="239">
        <f>1516120/1000</f>
        <v>1516.12</v>
      </c>
      <c r="K85" s="239">
        <f>2240635.845/1000</f>
        <v>2240.6358450000002</v>
      </c>
      <c r="L85" s="239"/>
    </row>
    <row r="86" spans="2:12" s="247" customFormat="1">
      <c r="B86" s="248"/>
      <c r="C86" s="248"/>
      <c r="D86" s="248"/>
      <c r="E86" s="249"/>
      <c r="F86" s="241"/>
      <c r="G86" s="238" t="s">
        <v>477</v>
      </c>
      <c r="H86" s="229">
        <v>1975.63</v>
      </c>
      <c r="I86" s="229">
        <v>8033.5</v>
      </c>
      <c r="J86" s="239">
        <f>9475750/1000</f>
        <v>9475.75</v>
      </c>
      <c r="K86" s="239">
        <f>9108576.0584/1000</f>
        <v>9108.5760584</v>
      </c>
      <c r="L86" s="239"/>
    </row>
    <row r="87" spans="2:12" s="247" customFormat="1">
      <c r="B87" s="248"/>
      <c r="C87" s="248"/>
      <c r="D87" s="248"/>
      <c r="E87" s="249"/>
      <c r="F87" s="241"/>
      <c r="G87" s="255" t="s">
        <v>480</v>
      </c>
      <c r="H87" s="256">
        <f>H88</f>
        <v>0</v>
      </c>
      <c r="I87" s="256">
        <f>I88</f>
        <v>1583604</v>
      </c>
      <c r="J87" s="256">
        <f t="shared" ref="J87:L87" si="24">J88</f>
        <v>599398.04200000002</v>
      </c>
      <c r="K87" s="256">
        <f t="shared" si="24"/>
        <v>51718.450194700003</v>
      </c>
      <c r="L87" s="256">
        <f t="shared" si="24"/>
        <v>0</v>
      </c>
    </row>
    <row r="88" spans="2:12" s="247" customFormat="1">
      <c r="B88" s="248"/>
      <c r="C88" s="248"/>
      <c r="D88" s="248"/>
      <c r="E88" s="249"/>
      <c r="F88" s="241"/>
      <c r="G88" s="238" t="s">
        <v>481</v>
      </c>
      <c r="H88" s="229"/>
      <c r="I88" s="229">
        <v>1583604</v>
      </c>
      <c r="J88" s="239">
        <f>599398042/1000</f>
        <v>599398.04200000002</v>
      </c>
      <c r="K88" s="239">
        <f>51718450.1947/1000</f>
        <v>51718.450194700003</v>
      </c>
      <c r="L88" s="239"/>
    </row>
    <row r="89" spans="2:12" s="247" customFormat="1">
      <c r="B89" s="248"/>
      <c r="C89" s="248"/>
      <c r="D89" s="248"/>
      <c r="E89" s="249"/>
      <c r="F89" s="241"/>
      <c r="G89" s="255" t="s">
        <v>474</v>
      </c>
      <c r="H89" s="256">
        <f>H90+H91+H92</f>
        <v>31770.850000000002</v>
      </c>
      <c r="I89" s="256">
        <f>I90+I91+I92</f>
        <v>84734.8</v>
      </c>
      <c r="J89" s="256">
        <f t="shared" ref="J89:L89" si="25">J90+J91+J92</f>
        <v>71106.027999999991</v>
      </c>
      <c r="K89" s="256">
        <f t="shared" si="25"/>
        <v>24385.907060099998</v>
      </c>
      <c r="L89" s="256">
        <f t="shared" si="25"/>
        <v>0</v>
      </c>
    </row>
    <row r="90" spans="2:12" s="247" customFormat="1">
      <c r="B90" s="248"/>
      <c r="C90" s="248"/>
      <c r="D90" s="248"/>
      <c r="E90" s="249"/>
      <c r="F90" s="241"/>
      <c r="G90" s="238" t="s">
        <v>475</v>
      </c>
      <c r="H90" s="229">
        <v>126.15</v>
      </c>
      <c r="I90" s="229">
        <v>573.79999999999995</v>
      </c>
      <c r="J90" s="239">
        <f>568545/1000</f>
        <v>568.54499999999996</v>
      </c>
      <c r="K90" s="239">
        <f>603377.857/1000</f>
        <v>603.37785699999995</v>
      </c>
      <c r="L90" s="239"/>
    </row>
    <row r="91" spans="2:12" s="247" customFormat="1">
      <c r="B91" s="248"/>
      <c r="C91" s="248"/>
      <c r="D91" s="248"/>
      <c r="E91" s="249"/>
      <c r="F91" s="241"/>
      <c r="G91" s="238" t="s">
        <v>482</v>
      </c>
      <c r="H91" s="229">
        <v>252.5</v>
      </c>
      <c r="I91" s="229">
        <v>1912.8</v>
      </c>
      <c r="J91" s="239">
        <f>1705635/1000</f>
        <v>1705.635</v>
      </c>
      <c r="K91" s="239">
        <f>1460175.172/1000</f>
        <v>1460.175172</v>
      </c>
      <c r="L91" s="239"/>
    </row>
    <row r="92" spans="2:12" s="247" customFormat="1">
      <c r="B92" s="248"/>
      <c r="C92" s="248"/>
      <c r="D92" s="248"/>
      <c r="E92" s="249"/>
      <c r="F92" s="241"/>
      <c r="G92" s="238" t="s">
        <v>478</v>
      </c>
      <c r="H92" s="229">
        <v>31392.2</v>
      </c>
      <c r="I92" s="229">
        <v>82248.2</v>
      </c>
      <c r="J92" s="239">
        <f>68831848/1000</f>
        <v>68831.847999999998</v>
      </c>
      <c r="K92" s="239">
        <f>22322354.0311/1000</f>
        <v>22322.3540311</v>
      </c>
      <c r="L92" s="239"/>
    </row>
    <row r="93" spans="2:12" s="247" customFormat="1">
      <c r="B93" s="248"/>
      <c r="C93" s="248"/>
      <c r="D93" s="248"/>
      <c r="E93" s="249"/>
      <c r="F93" s="245"/>
      <c r="G93" s="259" t="s">
        <v>483</v>
      </c>
      <c r="H93" s="235">
        <f>H94</f>
        <v>2457.67</v>
      </c>
      <c r="I93" s="235">
        <f>I94</f>
        <v>5738.3</v>
      </c>
      <c r="J93" s="235">
        <f t="shared" ref="J93:L93" si="26">J94</f>
        <v>3411.27</v>
      </c>
      <c r="K93" s="235">
        <f t="shared" si="26"/>
        <v>3644.7600606000001</v>
      </c>
      <c r="L93" s="235">
        <f t="shared" si="26"/>
        <v>0</v>
      </c>
    </row>
    <row r="94" spans="2:12" s="247" customFormat="1">
      <c r="B94" s="248"/>
      <c r="C94" s="248"/>
      <c r="D94" s="248"/>
      <c r="E94" s="249"/>
      <c r="F94" s="241"/>
      <c r="G94" s="238" t="s">
        <v>484</v>
      </c>
      <c r="H94" s="260">
        <v>2457.67</v>
      </c>
      <c r="I94" s="260">
        <v>5738.3</v>
      </c>
      <c r="J94" s="264">
        <f>3411270/1000</f>
        <v>3411.27</v>
      </c>
      <c r="K94" s="264">
        <f>3644760.0606/1000</f>
        <v>3644.7600606000001</v>
      </c>
      <c r="L94" s="264"/>
    </row>
    <row r="95" spans="2:12" s="247" customFormat="1" ht="34.200000000000003">
      <c r="B95" s="248"/>
      <c r="C95" s="248"/>
      <c r="D95" s="248"/>
      <c r="E95" s="249"/>
      <c r="F95" s="250">
        <v>11010</v>
      </c>
      <c r="G95" s="261" t="s">
        <v>485</v>
      </c>
      <c r="H95" s="235">
        <f>H97</f>
        <v>126985.584</v>
      </c>
      <c r="I95" s="235">
        <f>I97</f>
        <v>248485.4</v>
      </c>
      <c r="J95" s="235">
        <f>J97</f>
        <v>124625.064</v>
      </c>
      <c r="K95" s="235">
        <f>K97</f>
        <v>344054.57177869836</v>
      </c>
      <c r="L95" s="235">
        <f t="shared" ref="L95" si="27">L97</f>
        <v>0</v>
      </c>
    </row>
    <row r="96" spans="2:12" s="247" customFormat="1">
      <c r="B96" s="248"/>
      <c r="C96" s="248"/>
      <c r="D96" s="248"/>
      <c r="E96" s="249"/>
      <c r="F96" s="241"/>
      <c r="G96" s="251" t="s">
        <v>66</v>
      </c>
      <c r="H96" s="252"/>
      <c r="I96" s="252"/>
      <c r="J96" s="252"/>
      <c r="K96" s="252"/>
      <c r="L96" s="252"/>
    </row>
    <row r="97" spans="2:12" s="247" customFormat="1">
      <c r="B97" s="248"/>
      <c r="C97" s="248"/>
      <c r="D97" s="248"/>
      <c r="E97" s="248"/>
      <c r="F97" s="241"/>
      <c r="G97" s="238" t="s">
        <v>454</v>
      </c>
      <c r="H97" s="229">
        <f>H99</f>
        <v>126985.584</v>
      </c>
      <c r="I97" s="229">
        <f>I99</f>
        <v>248485.4</v>
      </c>
      <c r="J97" s="229">
        <f>J99</f>
        <v>124625.064</v>
      </c>
      <c r="K97" s="229">
        <f>K99</f>
        <v>344054.57177869836</v>
      </c>
      <c r="L97" s="229">
        <f t="shared" ref="L97" si="28">L99</f>
        <v>0</v>
      </c>
    </row>
    <row r="98" spans="2:12" s="247" customFormat="1" ht="21.6">
      <c r="B98" s="248"/>
      <c r="C98" s="248"/>
      <c r="D98" s="248"/>
      <c r="E98" s="248"/>
      <c r="F98" s="241"/>
      <c r="G98" s="238" t="s">
        <v>455</v>
      </c>
      <c r="H98" s="229"/>
      <c r="I98" s="229"/>
      <c r="J98" s="229"/>
      <c r="K98" s="229"/>
      <c r="L98" s="229"/>
    </row>
    <row r="99" spans="2:12" s="267" customFormat="1">
      <c r="B99" s="268"/>
      <c r="C99" s="268"/>
      <c r="D99" s="268"/>
      <c r="E99" s="268"/>
      <c r="F99" s="268"/>
      <c r="G99" s="269" t="s">
        <v>456</v>
      </c>
      <c r="H99" s="246">
        <f>H100</f>
        <v>126985.584</v>
      </c>
      <c r="I99" s="246">
        <f>I100</f>
        <v>248485.4</v>
      </c>
      <c r="J99" s="246">
        <f>J100</f>
        <v>124625.064</v>
      </c>
      <c r="K99" s="246">
        <f>K100</f>
        <v>344054.57177869836</v>
      </c>
      <c r="L99" s="246">
        <f t="shared" ref="L99" si="29">L100</f>
        <v>0</v>
      </c>
    </row>
    <row r="100" spans="2:12" s="267" customFormat="1">
      <c r="B100" s="268"/>
      <c r="C100" s="268"/>
      <c r="D100" s="268"/>
      <c r="E100" s="268"/>
      <c r="F100" s="268"/>
      <c r="G100" s="269" t="s">
        <v>457</v>
      </c>
      <c r="H100" s="246">
        <f>H101+H104+H122</f>
        <v>126985.584</v>
      </c>
      <c r="I100" s="246">
        <f>I101+I104+I122</f>
        <v>248485.4</v>
      </c>
      <c r="J100" s="246">
        <f>J101+J104+J122</f>
        <v>124625.064</v>
      </c>
      <c r="K100" s="246">
        <f>K101+K104+K122</f>
        <v>344054.57177869836</v>
      </c>
      <c r="L100" s="246">
        <f>L101+L104+L122</f>
        <v>0</v>
      </c>
    </row>
    <row r="101" spans="2:12" s="267" customFormat="1">
      <c r="B101" s="268"/>
      <c r="C101" s="268"/>
      <c r="D101" s="268"/>
      <c r="E101" s="268"/>
      <c r="F101" s="268"/>
      <c r="G101" s="269" t="s">
        <v>463</v>
      </c>
      <c r="H101" s="246">
        <f>H102</f>
        <v>77090.864000000001</v>
      </c>
      <c r="I101" s="246">
        <f>I102</f>
        <v>93456.9</v>
      </c>
      <c r="J101" s="246">
        <f>J102</f>
        <v>54788.786500000002</v>
      </c>
      <c r="K101" s="246">
        <f>K102</f>
        <v>228183.84411141</v>
      </c>
      <c r="L101" s="246">
        <f t="shared" ref="L101:L102" si="30">L102</f>
        <v>0</v>
      </c>
    </row>
    <row r="102" spans="2:12" s="247" customFormat="1">
      <c r="B102" s="248"/>
      <c r="C102" s="248"/>
      <c r="D102" s="248"/>
      <c r="E102" s="248"/>
      <c r="F102" s="268"/>
      <c r="G102" s="238" t="s">
        <v>464</v>
      </c>
      <c r="H102" s="229">
        <f t="shared" ref="H102:I102" si="31">H103</f>
        <v>77090.864000000001</v>
      </c>
      <c r="I102" s="229">
        <f t="shared" si="31"/>
        <v>93456.9</v>
      </c>
      <c r="J102" s="229">
        <f>J103</f>
        <v>54788.786500000002</v>
      </c>
      <c r="K102" s="229">
        <f>K103</f>
        <v>228183.84411141</v>
      </c>
      <c r="L102" s="229">
        <f t="shared" si="30"/>
        <v>0</v>
      </c>
    </row>
    <row r="103" spans="2:12" s="247" customFormat="1">
      <c r="B103" s="248"/>
      <c r="C103" s="248"/>
      <c r="D103" s="248"/>
      <c r="E103" s="248"/>
      <c r="F103" s="268"/>
      <c r="G103" s="238" t="s">
        <v>465</v>
      </c>
      <c r="H103" s="229">
        <v>77090.864000000001</v>
      </c>
      <c r="I103" s="229">
        <v>93456.9</v>
      </c>
      <c r="J103" s="229">
        <f>54788786.5/1000</f>
        <v>54788.786500000002</v>
      </c>
      <c r="K103" s="229">
        <f>228183844.11141/1000</f>
        <v>228183.84411141</v>
      </c>
      <c r="L103" s="229"/>
    </row>
    <row r="104" spans="2:12" s="247" customFormat="1" ht="22.8">
      <c r="B104" s="248"/>
      <c r="C104" s="248"/>
      <c r="D104" s="248"/>
      <c r="E104" s="248"/>
      <c r="F104" s="268"/>
      <c r="G104" s="259" t="s">
        <v>466</v>
      </c>
      <c r="H104" s="235">
        <f>H105+H109+H112+H117</f>
        <v>47332.520000000004</v>
      </c>
      <c r="I104" s="235">
        <f>I105+I109+I112+I117</f>
        <v>154913.79999999999</v>
      </c>
      <c r="J104" s="235">
        <f>J105+J109+J112+J117</f>
        <v>69722.568499999994</v>
      </c>
      <c r="K104" s="235">
        <f>K105+K109+K112+K117</f>
        <v>105816.15901885797</v>
      </c>
      <c r="L104" s="235">
        <f t="shared" ref="L104" si="32">L105+L109+L112+L117</f>
        <v>0</v>
      </c>
    </row>
    <row r="105" spans="2:12" s="247" customFormat="1">
      <c r="B105" s="248"/>
      <c r="C105" s="248"/>
      <c r="D105" s="248"/>
      <c r="E105" s="248"/>
      <c r="F105" s="268"/>
      <c r="G105" s="259" t="s">
        <v>486</v>
      </c>
      <c r="H105" s="235">
        <f>H106+H107+H108</f>
        <v>195</v>
      </c>
      <c r="I105" s="235">
        <f>I106+I107+I108</f>
        <v>3825.5</v>
      </c>
      <c r="J105" s="235">
        <f>J106+J107+J108</f>
        <v>2274.1799999999998</v>
      </c>
      <c r="K105" s="235">
        <f>K106+K107+K108</f>
        <v>2385.6319804640598</v>
      </c>
      <c r="L105" s="235">
        <f>L106+L107+L108</f>
        <v>0</v>
      </c>
    </row>
    <row r="106" spans="2:12" s="247" customFormat="1">
      <c r="B106" s="248"/>
      <c r="C106" s="248"/>
      <c r="D106" s="248"/>
      <c r="E106" s="248"/>
      <c r="F106" s="268"/>
      <c r="G106" s="238" t="s">
        <v>501</v>
      </c>
      <c r="H106" s="229"/>
      <c r="I106" s="229">
        <v>765.1</v>
      </c>
      <c r="J106" s="229"/>
      <c r="K106" s="229"/>
      <c r="L106" s="229"/>
    </row>
    <row r="107" spans="2:12" s="247" customFormat="1">
      <c r="B107" s="248"/>
      <c r="C107" s="248"/>
      <c r="D107" s="248"/>
      <c r="E107" s="248"/>
      <c r="F107" s="268"/>
      <c r="G107" s="238" t="s">
        <v>552</v>
      </c>
      <c r="H107" s="229"/>
      <c r="I107" s="229"/>
      <c r="J107" s="229">
        <f>758060/1000</f>
        <v>758.06</v>
      </c>
      <c r="K107" s="229">
        <f>758060/1000</f>
        <v>758.06</v>
      </c>
      <c r="L107" s="229"/>
    </row>
    <row r="108" spans="2:12" s="247" customFormat="1">
      <c r="B108" s="248"/>
      <c r="C108" s="248"/>
      <c r="D108" s="248"/>
      <c r="E108" s="248"/>
      <c r="F108" s="268"/>
      <c r="G108" s="238" t="s">
        <v>487</v>
      </c>
      <c r="H108" s="229">
        <v>195</v>
      </c>
      <c r="I108" s="229">
        <v>3060.4</v>
      </c>
      <c r="J108" s="229">
        <f>1516120/1000</f>
        <v>1516.12</v>
      </c>
      <c r="K108" s="229">
        <f>1627571.98046406/1000</f>
        <v>1627.5719804640601</v>
      </c>
      <c r="L108" s="229"/>
    </row>
    <row r="109" spans="2:12" s="247" customFormat="1">
      <c r="B109" s="248"/>
      <c r="C109" s="248"/>
      <c r="D109" s="248"/>
      <c r="E109" s="248"/>
      <c r="F109" s="268"/>
      <c r="G109" s="255" t="s">
        <v>467</v>
      </c>
      <c r="H109" s="256">
        <f>H110+H111</f>
        <v>635</v>
      </c>
      <c r="I109" s="256">
        <f>I110+I111</f>
        <v>5738.3</v>
      </c>
      <c r="J109" s="256">
        <f>J110+J111</f>
        <v>2653.21</v>
      </c>
      <c r="K109" s="256">
        <f>K110+K111</f>
        <v>12537.61607827407</v>
      </c>
      <c r="L109" s="256">
        <f t="shared" ref="L109" si="33">L110+L111</f>
        <v>0</v>
      </c>
    </row>
    <row r="110" spans="2:12" s="247" customFormat="1">
      <c r="B110" s="268"/>
      <c r="C110" s="268"/>
      <c r="D110" s="268"/>
      <c r="E110" s="268"/>
      <c r="F110" s="268"/>
      <c r="G110" s="238" t="s">
        <v>468</v>
      </c>
      <c r="H110" s="229">
        <v>635</v>
      </c>
      <c r="I110" s="229">
        <v>5738.3</v>
      </c>
      <c r="J110" s="229">
        <f>2653210/1000</f>
        <v>2653.21</v>
      </c>
      <c r="K110" s="229">
        <f>8199238.69827407/1000</f>
        <v>8199.23869827407</v>
      </c>
      <c r="L110" s="229"/>
    </row>
    <row r="111" spans="2:12" s="247" customFormat="1">
      <c r="B111" s="268"/>
      <c r="C111" s="268"/>
      <c r="D111" s="268"/>
      <c r="E111" s="268"/>
      <c r="F111" s="268"/>
      <c r="G111" s="238" t="s">
        <v>469</v>
      </c>
      <c r="H111" s="229"/>
      <c r="I111" s="229"/>
      <c r="J111" s="229"/>
      <c r="K111" s="229">
        <f>4338377.38/1000</f>
        <v>4338.3773799999999</v>
      </c>
      <c r="L111" s="229"/>
    </row>
    <row r="112" spans="2:12" s="247" customFormat="1">
      <c r="B112" s="268"/>
      <c r="C112" s="268"/>
      <c r="D112" s="268"/>
      <c r="E112" s="268"/>
      <c r="F112" s="268"/>
      <c r="G112" s="255" t="s">
        <v>470</v>
      </c>
      <c r="H112" s="256">
        <f>H113+H114+H115+H116</f>
        <v>10622.380000000001</v>
      </c>
      <c r="I112" s="256">
        <f>I113+I114+I115+I116</f>
        <v>111800.5</v>
      </c>
      <c r="J112" s="256">
        <f>J113+J114+J115+J116</f>
        <v>55906.924999999996</v>
      </c>
      <c r="K112" s="256">
        <f>K113+K114+K115+K116</f>
        <v>69625.304901440482</v>
      </c>
      <c r="L112" s="256">
        <f t="shared" ref="L112" si="34">L113+L114+L116</f>
        <v>0</v>
      </c>
    </row>
    <row r="113" spans="2:12" s="247" customFormat="1">
      <c r="B113" s="248"/>
      <c r="C113" s="248"/>
      <c r="D113" s="248"/>
      <c r="E113" s="248"/>
      <c r="F113" s="268"/>
      <c r="G113" s="238" t="s">
        <v>471</v>
      </c>
      <c r="H113" s="229">
        <v>2793.3</v>
      </c>
      <c r="I113" s="229">
        <v>3443.2</v>
      </c>
      <c r="J113" s="229">
        <f>1895150/1000</f>
        <v>1895.15</v>
      </c>
      <c r="K113" s="229">
        <f>4305661.88459881/1000</f>
        <v>4305.6618845988105</v>
      </c>
      <c r="L113" s="229"/>
    </row>
    <row r="114" spans="2:12" s="247" customFormat="1">
      <c r="B114" s="248"/>
      <c r="C114" s="248"/>
      <c r="D114" s="248"/>
      <c r="E114" s="248"/>
      <c r="F114" s="268"/>
      <c r="G114" s="238" t="s">
        <v>472</v>
      </c>
      <c r="H114" s="229">
        <v>1709.08</v>
      </c>
      <c r="I114" s="229">
        <v>573.79999999999995</v>
      </c>
      <c r="J114" s="229">
        <f>568545/1000</f>
        <v>568.54499999999996</v>
      </c>
      <c r="K114" s="229">
        <f>5667930.11670337/1000</f>
        <v>5667.93011670337</v>
      </c>
      <c r="L114" s="229"/>
    </row>
    <row r="115" spans="2:12" s="247" customFormat="1">
      <c r="B115" s="248"/>
      <c r="C115" s="248"/>
      <c r="D115" s="248"/>
      <c r="E115" s="248"/>
      <c r="F115" s="268"/>
      <c r="G115" s="238" t="s">
        <v>473</v>
      </c>
      <c r="H115" s="229">
        <v>6120</v>
      </c>
      <c r="I115" s="229">
        <v>7077.2</v>
      </c>
      <c r="J115" s="229">
        <f>2653210/1000</f>
        <v>2653.21</v>
      </c>
      <c r="K115" s="229">
        <f>14000206.3400353/1000</f>
        <v>14000.2063400353</v>
      </c>
      <c r="L115" s="229"/>
    </row>
    <row r="116" spans="2:12" s="247" customFormat="1">
      <c r="B116" s="248"/>
      <c r="C116" s="248"/>
      <c r="D116" s="248"/>
      <c r="E116" s="248"/>
      <c r="F116" s="268"/>
      <c r="G116" s="238" t="s">
        <v>477</v>
      </c>
      <c r="H116" s="229"/>
      <c r="I116" s="229">
        <v>100706.3</v>
      </c>
      <c r="J116" s="229">
        <f>50790020/1000</f>
        <v>50790.02</v>
      </c>
      <c r="K116" s="229">
        <f>45651506.560103/1000</f>
        <v>45651.506560103</v>
      </c>
      <c r="L116" s="229"/>
    </row>
    <row r="117" spans="2:12" s="247" customFormat="1">
      <c r="B117" s="248"/>
      <c r="C117" s="248"/>
      <c r="D117" s="248"/>
      <c r="E117" s="248"/>
      <c r="F117" s="268"/>
      <c r="G117" s="255" t="s">
        <v>474</v>
      </c>
      <c r="H117" s="256">
        <f>H118+H119+H120+H121</f>
        <v>35880.14</v>
      </c>
      <c r="I117" s="256">
        <f>I118+I119+I120+I121</f>
        <v>33549.5</v>
      </c>
      <c r="J117" s="256">
        <f>J119+J120+J121</f>
        <v>8888.2535000000007</v>
      </c>
      <c r="K117" s="256">
        <f>K118+K119+K120+K121</f>
        <v>21267.606058679361</v>
      </c>
      <c r="L117" s="256">
        <f>L119+L120+L121</f>
        <v>0</v>
      </c>
    </row>
    <row r="118" spans="2:12" s="247" customFormat="1">
      <c r="B118" s="248"/>
      <c r="C118" s="248"/>
      <c r="D118" s="248"/>
      <c r="E118" s="248"/>
      <c r="F118" s="268"/>
      <c r="G118" s="238" t="s">
        <v>482</v>
      </c>
      <c r="H118" s="229"/>
      <c r="I118" s="229"/>
      <c r="J118" s="229"/>
      <c r="K118" s="229">
        <f>3064457.55/1000</f>
        <v>3064.4575499999996</v>
      </c>
      <c r="L118" s="229"/>
    </row>
    <row r="119" spans="2:12" s="247" customFormat="1">
      <c r="B119" s="248"/>
      <c r="C119" s="248"/>
      <c r="D119" s="248"/>
      <c r="E119" s="248"/>
      <c r="F119" s="268"/>
      <c r="G119" s="238" t="s">
        <v>475</v>
      </c>
      <c r="H119" s="229"/>
      <c r="I119" s="229">
        <v>382.5</v>
      </c>
      <c r="J119" s="229">
        <f>379030/1000</f>
        <v>379.03</v>
      </c>
      <c r="K119" s="229">
        <f>379079.539929422/1000</f>
        <v>379.07953992942203</v>
      </c>
      <c r="L119" s="229"/>
    </row>
    <row r="120" spans="2:12" s="247" customFormat="1">
      <c r="B120" s="248"/>
      <c r="C120" s="248"/>
      <c r="D120" s="248"/>
      <c r="E120" s="248"/>
      <c r="F120" s="268"/>
      <c r="G120" s="238" t="s">
        <v>488</v>
      </c>
      <c r="H120" s="229">
        <v>12667.69</v>
      </c>
      <c r="I120" s="229">
        <v>13389.2</v>
      </c>
      <c r="J120" s="229"/>
      <c r="K120" s="229">
        <f>8445339.5670493/1000</f>
        <v>8445.339567049301</v>
      </c>
      <c r="L120" s="229"/>
    </row>
    <row r="121" spans="2:12" s="247" customFormat="1">
      <c r="B121" s="268"/>
      <c r="C121" s="268"/>
      <c r="D121" s="268"/>
      <c r="E121" s="268"/>
      <c r="F121" s="268"/>
      <c r="G121" s="238" t="s">
        <v>478</v>
      </c>
      <c r="H121" s="229">
        <v>23212.45</v>
      </c>
      <c r="I121" s="229">
        <v>19777.8</v>
      </c>
      <c r="J121" s="229">
        <f>8509223.5/1000</f>
        <v>8509.2235000000001</v>
      </c>
      <c r="K121" s="229">
        <f>9378729.40170064/1000</f>
        <v>9378.7294017006407</v>
      </c>
      <c r="L121" s="229"/>
    </row>
    <row r="122" spans="2:12" s="247" customFormat="1">
      <c r="B122" s="268"/>
      <c r="C122" s="268"/>
      <c r="D122" s="268"/>
      <c r="E122" s="268"/>
      <c r="F122" s="268"/>
      <c r="G122" s="259" t="s">
        <v>483</v>
      </c>
      <c r="H122" s="235">
        <f>H123+H124</f>
        <v>2562.2000000000003</v>
      </c>
      <c r="I122" s="235">
        <f>I124</f>
        <v>114.7</v>
      </c>
      <c r="J122" s="235">
        <f>J124</f>
        <v>113.709</v>
      </c>
      <c r="K122" s="235">
        <f>K123+K124</f>
        <v>10054.568648430375</v>
      </c>
      <c r="L122" s="235">
        <f t="shared" ref="L122" si="35">L124</f>
        <v>0</v>
      </c>
    </row>
    <row r="123" spans="2:12" s="247" customFormat="1">
      <c r="B123" s="268"/>
      <c r="C123" s="268"/>
      <c r="D123" s="268"/>
      <c r="E123" s="268"/>
      <c r="F123" s="268"/>
      <c r="G123" s="243" t="s">
        <v>546</v>
      </c>
      <c r="H123" s="229">
        <v>28.8</v>
      </c>
      <c r="I123" s="229"/>
      <c r="J123" s="229"/>
      <c r="K123" s="229">
        <f>237126.501459307/1000</f>
        <v>237.12650145930701</v>
      </c>
      <c r="L123" s="229"/>
    </row>
    <row r="124" spans="2:12" s="247" customFormat="1">
      <c r="B124" s="268"/>
      <c r="C124" s="268"/>
      <c r="D124" s="268"/>
      <c r="E124" s="268"/>
      <c r="F124" s="341"/>
      <c r="G124" s="243" t="s">
        <v>484</v>
      </c>
      <c r="H124" s="229">
        <v>2533.4</v>
      </c>
      <c r="I124" s="229">
        <v>114.7</v>
      </c>
      <c r="J124" s="229">
        <f>113709/1000</f>
        <v>113.709</v>
      </c>
      <c r="K124" s="229">
        <f>9817442.14697107/1000</f>
        <v>9817.4421469710687</v>
      </c>
      <c r="L124" s="229"/>
    </row>
    <row r="125" spans="2:12" s="247" customFormat="1" ht="64.95" customHeight="1">
      <c r="B125" s="248"/>
      <c r="C125" s="248"/>
      <c r="D125" s="248"/>
      <c r="E125" s="248"/>
      <c r="F125" s="270">
        <v>12002</v>
      </c>
      <c r="G125" s="271" t="s">
        <v>547</v>
      </c>
      <c r="H125" s="272">
        <f>H127</f>
        <v>0</v>
      </c>
      <c r="I125" s="272">
        <f>I127</f>
        <v>127293.5</v>
      </c>
      <c r="J125" s="272">
        <f t="shared" ref="J125:L125" si="36">J127</f>
        <v>40445.912319540002</v>
      </c>
      <c r="K125" s="272">
        <f t="shared" si="36"/>
        <v>50714.025748268301</v>
      </c>
      <c r="L125" s="273">
        <f t="shared" si="36"/>
        <v>0</v>
      </c>
    </row>
    <row r="126" spans="2:12">
      <c r="B126" s="232"/>
      <c r="C126" s="232"/>
      <c r="D126" s="232"/>
      <c r="E126" s="232"/>
      <c r="F126" s="274"/>
      <c r="G126" s="238" t="s">
        <v>66</v>
      </c>
      <c r="H126" s="229"/>
      <c r="I126" s="229"/>
      <c r="J126" s="239"/>
      <c r="K126" s="240"/>
      <c r="L126" s="240"/>
    </row>
    <row r="127" spans="2:12">
      <c r="B127" s="232"/>
      <c r="C127" s="232"/>
      <c r="D127" s="232"/>
      <c r="E127" s="232"/>
      <c r="F127" s="275"/>
      <c r="G127" s="242" t="s">
        <v>454</v>
      </c>
      <c r="H127" s="276">
        <f>H129</f>
        <v>0</v>
      </c>
      <c r="I127" s="276">
        <f>I129</f>
        <v>127293.5</v>
      </c>
      <c r="J127" s="276">
        <f>J129</f>
        <v>40445.912319540002</v>
      </c>
      <c r="K127" s="277">
        <f>K129</f>
        <v>50714.025748268301</v>
      </c>
      <c r="L127" s="277">
        <f>L129</f>
        <v>0</v>
      </c>
    </row>
    <row r="128" spans="2:12" ht="21.6">
      <c r="B128" s="232"/>
      <c r="C128" s="232"/>
      <c r="D128" s="232"/>
      <c r="E128" s="232"/>
      <c r="F128" s="275"/>
      <c r="G128" s="238" t="s">
        <v>455</v>
      </c>
      <c r="H128" s="276"/>
      <c r="I128" s="276"/>
      <c r="J128" s="276"/>
      <c r="K128" s="277"/>
      <c r="L128" s="277"/>
    </row>
    <row r="129" spans="2:12">
      <c r="B129" s="232"/>
      <c r="C129" s="232"/>
      <c r="D129" s="232"/>
      <c r="E129" s="232"/>
      <c r="F129" s="275"/>
      <c r="G129" s="242" t="s">
        <v>456</v>
      </c>
      <c r="H129" s="276">
        <f t="shared" ref="H129:L132" si="37">H130</f>
        <v>0</v>
      </c>
      <c r="I129" s="276">
        <f t="shared" si="37"/>
        <v>127293.5</v>
      </c>
      <c r="J129" s="276">
        <f t="shared" si="37"/>
        <v>40445.912319540002</v>
      </c>
      <c r="K129" s="277">
        <f t="shared" si="37"/>
        <v>50714.025748268301</v>
      </c>
      <c r="L129" s="277">
        <f t="shared" si="37"/>
        <v>0</v>
      </c>
    </row>
    <row r="130" spans="2:12">
      <c r="B130" s="232"/>
      <c r="C130" s="232"/>
      <c r="D130" s="232"/>
      <c r="E130" s="232"/>
      <c r="F130" s="275"/>
      <c r="G130" s="238" t="s">
        <v>457</v>
      </c>
      <c r="H130" s="276">
        <f t="shared" si="37"/>
        <v>0</v>
      </c>
      <c r="I130" s="276">
        <f t="shared" si="37"/>
        <v>127293.5</v>
      </c>
      <c r="J130" s="276">
        <f t="shared" si="37"/>
        <v>40445.912319540002</v>
      </c>
      <c r="K130" s="277">
        <f t="shared" si="37"/>
        <v>50714.025748268301</v>
      </c>
      <c r="L130" s="277">
        <f t="shared" si="37"/>
        <v>0</v>
      </c>
    </row>
    <row r="131" spans="2:12">
      <c r="B131" s="232"/>
      <c r="C131" s="232"/>
      <c r="D131" s="232"/>
      <c r="E131" s="232"/>
      <c r="F131" s="275"/>
      <c r="G131" s="238" t="s">
        <v>458</v>
      </c>
      <c r="H131" s="276">
        <f t="shared" si="37"/>
        <v>0</v>
      </c>
      <c r="I131" s="276">
        <f t="shared" si="37"/>
        <v>127293.5</v>
      </c>
      <c r="J131" s="276">
        <f t="shared" si="37"/>
        <v>40445.912319540002</v>
      </c>
      <c r="K131" s="277">
        <f t="shared" si="37"/>
        <v>50714.025748268301</v>
      </c>
      <c r="L131" s="277">
        <f t="shared" si="37"/>
        <v>0</v>
      </c>
    </row>
    <row r="132" spans="2:12" ht="21.6">
      <c r="B132" s="232"/>
      <c r="C132" s="232"/>
      <c r="D132" s="232"/>
      <c r="E132" s="232"/>
      <c r="F132" s="275"/>
      <c r="G132" s="242" t="s">
        <v>489</v>
      </c>
      <c r="H132" s="276">
        <f t="shared" si="37"/>
        <v>0</v>
      </c>
      <c r="I132" s="276">
        <f t="shared" si="37"/>
        <v>127293.5</v>
      </c>
      <c r="J132" s="276">
        <f t="shared" si="37"/>
        <v>40445.912319540002</v>
      </c>
      <c r="K132" s="277">
        <f t="shared" si="37"/>
        <v>50714.025748268301</v>
      </c>
      <c r="L132" s="277">
        <f t="shared" si="37"/>
        <v>0</v>
      </c>
    </row>
    <row r="133" spans="2:12">
      <c r="B133" s="232"/>
      <c r="C133" s="232"/>
      <c r="D133" s="232"/>
      <c r="E133" s="232"/>
      <c r="F133" s="278"/>
      <c r="G133" s="238" t="s">
        <v>548</v>
      </c>
      <c r="H133" s="272"/>
      <c r="I133" s="344">
        <v>127293.5</v>
      </c>
      <c r="J133" s="344">
        <f>40445912.31954/1000</f>
        <v>40445.912319540002</v>
      </c>
      <c r="K133" s="344">
        <f>50714025.7482683/1000</f>
        <v>50714.025748268301</v>
      </c>
      <c r="L133" s="273"/>
    </row>
    <row r="134" spans="2:12" ht="34.200000000000003">
      <c r="B134" s="248"/>
      <c r="C134" s="248"/>
      <c r="D134" s="248"/>
      <c r="E134" s="248"/>
      <c r="F134" s="250" t="str">
        <f>'[1]Tntesagitakan (2)'!B28</f>
        <v xml:space="preserve"> 32003</v>
      </c>
      <c r="G134" s="234" t="s">
        <v>359</v>
      </c>
      <c r="H134" s="235">
        <f>H136</f>
        <v>298200</v>
      </c>
      <c r="I134" s="235">
        <f>I136</f>
        <v>0</v>
      </c>
      <c r="J134" s="246">
        <f>J136</f>
        <v>0</v>
      </c>
      <c r="K134" s="279">
        <f>K136</f>
        <v>3000</v>
      </c>
      <c r="L134" s="279">
        <f>L136</f>
        <v>0</v>
      </c>
    </row>
    <row r="135" spans="2:12">
      <c r="B135" s="248"/>
      <c r="C135" s="248"/>
      <c r="D135" s="248"/>
      <c r="E135" s="248"/>
      <c r="F135" s="237"/>
      <c r="G135" s="238" t="s">
        <v>66</v>
      </c>
      <c r="H135" s="229"/>
      <c r="I135" s="229"/>
      <c r="J135" s="239"/>
      <c r="K135" s="240"/>
      <c r="L135" s="240"/>
    </row>
    <row r="136" spans="2:12">
      <c r="B136" s="248"/>
      <c r="C136" s="248"/>
      <c r="D136" s="248"/>
      <c r="E136" s="248"/>
      <c r="F136" s="241"/>
      <c r="G136" s="238" t="s">
        <v>454</v>
      </c>
      <c r="H136" s="229">
        <f>H138</f>
        <v>298200</v>
      </c>
      <c r="I136" s="229">
        <f>I138</f>
        <v>0</v>
      </c>
      <c r="J136" s="239">
        <f>J138</f>
        <v>0</v>
      </c>
      <c r="K136" s="240">
        <f>K138</f>
        <v>3000</v>
      </c>
      <c r="L136" s="240">
        <f>L138</f>
        <v>0</v>
      </c>
    </row>
    <row r="137" spans="2:12" ht="29.25" customHeight="1">
      <c r="B137" s="248"/>
      <c r="C137" s="248"/>
      <c r="D137" s="248"/>
      <c r="E137" s="248"/>
      <c r="F137" s="241"/>
      <c r="G137" s="242" t="s">
        <v>455</v>
      </c>
      <c r="H137" s="229"/>
      <c r="I137" s="229"/>
      <c r="J137" s="239"/>
      <c r="K137" s="240"/>
      <c r="L137" s="240"/>
    </row>
    <row r="138" spans="2:12">
      <c r="B138" s="248"/>
      <c r="C138" s="248"/>
      <c r="D138" s="248"/>
      <c r="E138" s="248"/>
      <c r="F138" s="241"/>
      <c r="G138" s="238" t="s">
        <v>456</v>
      </c>
      <c r="H138" s="229">
        <f t="shared" ref="H138:L141" si="38">H139</f>
        <v>298200</v>
      </c>
      <c r="I138" s="229">
        <f t="shared" si="38"/>
        <v>0</v>
      </c>
      <c r="J138" s="239">
        <f t="shared" si="38"/>
        <v>0</v>
      </c>
      <c r="K138" s="240">
        <f t="shared" si="38"/>
        <v>3000</v>
      </c>
      <c r="L138" s="240">
        <f t="shared" si="38"/>
        <v>0</v>
      </c>
    </row>
    <row r="139" spans="2:12">
      <c r="B139" s="248"/>
      <c r="C139" s="248"/>
      <c r="D139" s="248"/>
      <c r="E139" s="248"/>
      <c r="F139" s="241"/>
      <c r="G139" s="242" t="s">
        <v>491</v>
      </c>
      <c r="H139" s="229">
        <f t="shared" si="38"/>
        <v>298200</v>
      </c>
      <c r="I139" s="229">
        <f t="shared" si="38"/>
        <v>0</v>
      </c>
      <c r="J139" s="239">
        <f t="shared" si="38"/>
        <v>0</v>
      </c>
      <c r="K139" s="240">
        <f t="shared" si="38"/>
        <v>3000</v>
      </c>
      <c r="L139" s="240">
        <f t="shared" si="38"/>
        <v>0</v>
      </c>
    </row>
    <row r="140" spans="2:12">
      <c r="B140" s="268"/>
      <c r="C140" s="268"/>
      <c r="D140" s="268"/>
      <c r="E140" s="268"/>
      <c r="F140" s="241"/>
      <c r="G140" s="238" t="s">
        <v>492</v>
      </c>
      <c r="H140" s="229">
        <f t="shared" si="38"/>
        <v>298200</v>
      </c>
      <c r="I140" s="229">
        <f t="shared" si="38"/>
        <v>0</v>
      </c>
      <c r="J140" s="239">
        <f t="shared" si="38"/>
        <v>0</v>
      </c>
      <c r="K140" s="240">
        <f t="shared" si="38"/>
        <v>3000</v>
      </c>
      <c r="L140" s="240">
        <f t="shared" si="38"/>
        <v>0</v>
      </c>
    </row>
    <row r="141" spans="2:12">
      <c r="B141" s="268"/>
      <c r="C141" s="268"/>
      <c r="D141" s="268"/>
      <c r="E141" s="268"/>
      <c r="F141" s="241"/>
      <c r="G141" s="238" t="s">
        <v>493</v>
      </c>
      <c r="H141" s="229">
        <f t="shared" si="38"/>
        <v>298200</v>
      </c>
      <c r="I141" s="229">
        <f t="shared" si="38"/>
        <v>0</v>
      </c>
      <c r="J141" s="239">
        <f t="shared" si="38"/>
        <v>0</v>
      </c>
      <c r="K141" s="240">
        <f t="shared" si="38"/>
        <v>3000</v>
      </c>
      <c r="L141" s="240">
        <f t="shared" si="38"/>
        <v>0</v>
      </c>
    </row>
    <row r="142" spans="2:12">
      <c r="B142" s="268"/>
      <c r="C142" s="268"/>
      <c r="D142" s="268"/>
      <c r="E142" s="268"/>
      <c r="F142" s="241"/>
      <c r="G142" s="238" t="s">
        <v>495</v>
      </c>
      <c r="H142" s="260">
        <v>298200</v>
      </c>
      <c r="I142" s="260"/>
      <c r="J142" s="264"/>
      <c r="K142" s="263">
        <v>3000</v>
      </c>
      <c r="L142" s="263"/>
    </row>
    <row r="143" spans="2:12" s="225" customFormat="1" ht="47.25" customHeight="1">
      <c r="B143" s="310" t="s">
        <v>450</v>
      </c>
      <c r="C143" s="310" t="s">
        <v>451</v>
      </c>
      <c r="D143" s="310" t="s">
        <v>452</v>
      </c>
      <c r="E143" s="311" t="str">
        <f>'[1]Tntesagitakan (2)'!A37</f>
        <v xml:space="preserve"> 1071</v>
      </c>
      <c r="F143" s="311"/>
      <c r="G143" s="311" t="s">
        <v>496</v>
      </c>
      <c r="H143" s="306">
        <f>H145+H185+H217+H251+H260+H269+H278</f>
        <v>6407216.0679000001</v>
      </c>
      <c r="I143" s="306">
        <f t="shared" ref="I143:L143" si="39">I145+I185+I217+I251+I260+I269+I278</f>
        <v>8276520.0839999998</v>
      </c>
      <c r="J143" s="306">
        <f t="shared" si="39"/>
        <v>8145306.4996088129</v>
      </c>
      <c r="K143" s="306">
        <f t="shared" si="39"/>
        <v>9052431.3029653896</v>
      </c>
      <c r="L143" s="306">
        <f t="shared" si="39"/>
        <v>9057521.6262187213</v>
      </c>
    </row>
    <row r="144" spans="2:12">
      <c r="B144" s="226"/>
      <c r="C144" s="226"/>
      <c r="D144" s="226"/>
      <c r="E144" s="226"/>
      <c r="F144" s="280"/>
      <c r="G144" s="226" t="s">
        <v>497</v>
      </c>
      <c r="H144" s="229"/>
      <c r="I144" s="229"/>
      <c r="J144" s="239"/>
      <c r="K144" s="240"/>
      <c r="L144" s="240"/>
    </row>
    <row r="145" spans="2:15" s="247" customFormat="1" ht="22.8">
      <c r="B145" s="248"/>
      <c r="C145" s="248"/>
      <c r="D145" s="248"/>
      <c r="E145" s="248"/>
      <c r="F145" s="281" t="str">
        <f>'[1]Tntesagitakan (2)'!B39</f>
        <v xml:space="preserve"> 11001</v>
      </c>
      <c r="G145" s="234" t="s">
        <v>370</v>
      </c>
      <c r="H145" s="282">
        <f>H147</f>
        <v>1252982.8443</v>
      </c>
      <c r="I145" s="282">
        <f t="shared" ref="I145:L145" si="40">I147</f>
        <v>1148786.1840000001</v>
      </c>
      <c r="J145" s="282">
        <f t="shared" si="40"/>
        <v>1279443.8829000001</v>
      </c>
      <c r="K145" s="282">
        <f t="shared" si="40"/>
        <v>1299814.1946299097</v>
      </c>
      <c r="L145" s="282">
        <f t="shared" si="40"/>
        <v>1289861.8946299094</v>
      </c>
    </row>
    <row r="146" spans="2:15">
      <c r="B146" s="232"/>
      <c r="C146" s="232"/>
      <c r="D146" s="232"/>
      <c r="E146" s="232"/>
      <c r="F146" s="274"/>
      <c r="G146" s="238" t="s">
        <v>66</v>
      </c>
      <c r="H146" s="283"/>
      <c r="I146" s="283"/>
      <c r="J146" s="283"/>
      <c r="K146" s="283"/>
      <c r="L146" s="283"/>
    </row>
    <row r="147" spans="2:15">
      <c r="B147" s="232"/>
      <c r="C147" s="232"/>
      <c r="D147" s="232"/>
      <c r="E147" s="232"/>
      <c r="F147" s="275"/>
      <c r="G147" s="242" t="s">
        <v>454</v>
      </c>
      <c r="H147" s="283">
        <f>H149</f>
        <v>1252982.8443</v>
      </c>
      <c r="I147" s="283">
        <f>I149</f>
        <v>1148786.1840000001</v>
      </c>
      <c r="J147" s="283">
        <f t="shared" ref="J147:L147" si="41">J149</f>
        <v>1279443.8829000001</v>
      </c>
      <c r="K147" s="283">
        <f t="shared" si="41"/>
        <v>1299814.1946299097</v>
      </c>
      <c r="L147" s="283">
        <f t="shared" si="41"/>
        <v>1289861.8946299094</v>
      </c>
    </row>
    <row r="148" spans="2:15" ht="21.6">
      <c r="B148" s="232"/>
      <c r="C148" s="232"/>
      <c r="D148" s="232"/>
      <c r="E148" s="232"/>
      <c r="F148" s="275"/>
      <c r="G148" s="238" t="s">
        <v>455</v>
      </c>
      <c r="H148" s="283"/>
      <c r="I148" s="283"/>
      <c r="J148" s="283"/>
      <c r="K148" s="283"/>
      <c r="L148" s="283"/>
    </row>
    <row r="149" spans="2:15">
      <c r="B149" s="232"/>
      <c r="C149" s="232"/>
      <c r="D149" s="232"/>
      <c r="E149" s="232"/>
      <c r="F149" s="275"/>
      <c r="G149" s="242" t="s">
        <v>456</v>
      </c>
      <c r="H149" s="283">
        <f>H150</f>
        <v>1252982.8443</v>
      </c>
      <c r="I149" s="283">
        <f>I150</f>
        <v>1148786.1840000001</v>
      </c>
      <c r="J149" s="283">
        <f t="shared" ref="J149:L149" si="42">J150</f>
        <v>1279443.8829000001</v>
      </c>
      <c r="K149" s="283">
        <f t="shared" si="42"/>
        <v>1299814.1946299097</v>
      </c>
      <c r="L149" s="283">
        <f t="shared" si="42"/>
        <v>1289861.8946299094</v>
      </c>
    </row>
    <row r="150" spans="2:15">
      <c r="B150" s="232"/>
      <c r="C150" s="232"/>
      <c r="D150" s="232"/>
      <c r="E150" s="232"/>
      <c r="F150" s="275"/>
      <c r="G150" s="238" t="s">
        <v>457</v>
      </c>
      <c r="H150" s="283">
        <f>H151+H157+H183</f>
        <v>1252982.8443</v>
      </c>
      <c r="I150" s="283">
        <f>I151+I157+I183</f>
        <v>1148786.1840000001</v>
      </c>
      <c r="J150" s="283">
        <f t="shared" ref="J150:L150" si="43">J151+J157+J183</f>
        <v>1279443.8829000001</v>
      </c>
      <c r="K150" s="283">
        <f t="shared" si="43"/>
        <v>1299814.1946299097</v>
      </c>
      <c r="L150" s="283">
        <f t="shared" si="43"/>
        <v>1289861.8946299094</v>
      </c>
    </row>
    <row r="151" spans="2:15">
      <c r="B151" s="232"/>
      <c r="C151" s="232"/>
      <c r="D151" s="232"/>
      <c r="E151" s="232"/>
      <c r="F151" s="275"/>
      <c r="G151" s="238" t="s">
        <v>463</v>
      </c>
      <c r="H151" s="283">
        <f>H152</f>
        <v>1154910</v>
      </c>
      <c r="I151" s="283">
        <f>I152</f>
        <v>1068495.3</v>
      </c>
      <c r="J151" s="283">
        <f t="shared" ref="J151:L151" si="44">J152</f>
        <v>1186684.0999999999</v>
      </c>
      <c r="K151" s="283">
        <f t="shared" si="44"/>
        <v>1173421.6000000001</v>
      </c>
      <c r="L151" s="283">
        <f t="shared" si="44"/>
        <v>1183469.2999999998</v>
      </c>
    </row>
    <row r="152" spans="2:15" s="247" customFormat="1">
      <c r="B152" s="248"/>
      <c r="C152" s="248"/>
      <c r="D152" s="248"/>
      <c r="E152" s="248"/>
      <c r="F152" s="275"/>
      <c r="G152" s="259" t="s">
        <v>464</v>
      </c>
      <c r="H152" s="282">
        <f>H153+H154+H155+H156</f>
        <v>1154910</v>
      </c>
      <c r="I152" s="282">
        <f>I153+I154+I155+I156</f>
        <v>1068495.3</v>
      </c>
      <c r="J152" s="282">
        <f>J153+J154+J155+J156</f>
        <v>1186684.0999999999</v>
      </c>
      <c r="K152" s="282">
        <f t="shared" ref="K152" si="45">K153+K154+K155+K156</f>
        <v>1173421.6000000001</v>
      </c>
      <c r="L152" s="282">
        <f>L153+L154+L155+L156</f>
        <v>1183469.2999999998</v>
      </c>
      <c r="N152" s="756"/>
    </row>
    <row r="153" spans="2:15">
      <c r="B153" s="232"/>
      <c r="C153" s="232"/>
      <c r="D153" s="232"/>
      <c r="E153" s="232"/>
      <c r="F153" s="284"/>
      <c r="G153" s="238" t="s">
        <v>465</v>
      </c>
      <c r="H153" s="283">
        <v>892862.8</v>
      </c>
      <c r="I153" s="283">
        <v>926244.7</v>
      </c>
      <c r="J153" s="283">
        <v>971368.5</v>
      </c>
      <c r="K153" s="283">
        <v>979823.3</v>
      </c>
      <c r="L153" s="283">
        <v>988517.2</v>
      </c>
    </row>
    <row r="154" spans="2:15" ht="21.6">
      <c r="B154" s="232"/>
      <c r="C154" s="232"/>
      <c r="D154" s="232"/>
      <c r="E154" s="232"/>
      <c r="F154" s="284"/>
      <c r="G154" s="238" t="s">
        <v>498</v>
      </c>
      <c r="H154" s="283">
        <v>190719.2</v>
      </c>
      <c r="I154" s="283">
        <v>70802</v>
      </c>
      <c r="J154" s="283">
        <v>142106.4</v>
      </c>
      <c r="K154" s="283">
        <v>119524.6</v>
      </c>
      <c r="L154" s="283">
        <v>120074.4</v>
      </c>
      <c r="O154" s="454"/>
    </row>
    <row r="155" spans="2:15" ht="21.6">
      <c r="B155" s="232"/>
      <c r="C155" s="232"/>
      <c r="D155" s="232"/>
      <c r="E155" s="232"/>
      <c r="F155" s="284"/>
      <c r="G155" s="238" t="s">
        <v>499</v>
      </c>
      <c r="H155" s="283">
        <v>71328</v>
      </c>
      <c r="I155" s="283">
        <v>71448.600000000006</v>
      </c>
      <c r="J155" s="283">
        <v>73209.2</v>
      </c>
      <c r="K155" s="283">
        <v>74073.7</v>
      </c>
      <c r="L155" s="283">
        <v>74877.7</v>
      </c>
    </row>
    <row r="156" spans="2:15">
      <c r="B156" s="232"/>
      <c r="C156" s="232"/>
      <c r="D156" s="232"/>
      <c r="E156" s="232"/>
      <c r="F156" s="284"/>
      <c r="G156" s="238" t="s">
        <v>500</v>
      </c>
      <c r="H156" s="283"/>
      <c r="I156" s="283">
        <v>0</v>
      </c>
      <c r="J156" s="283"/>
      <c r="K156" s="283"/>
      <c r="L156" s="283"/>
    </row>
    <row r="157" spans="2:15" s="247" customFormat="1" ht="22.8">
      <c r="B157" s="248"/>
      <c r="C157" s="248"/>
      <c r="D157" s="248"/>
      <c r="E157" s="248"/>
      <c r="F157" s="275"/>
      <c r="G157" s="269" t="s">
        <v>466</v>
      </c>
      <c r="H157" s="282">
        <f>H158+H164+H167+H175+H178</f>
        <v>97173.225200000001</v>
      </c>
      <c r="I157" s="282">
        <f>I158+I164+I167+I175+I178</f>
        <v>79750.884000000005</v>
      </c>
      <c r="J157" s="282">
        <f>J158+J164+J167+J175+J178</f>
        <v>92237.16290000001</v>
      </c>
      <c r="K157" s="282">
        <f t="shared" ref="K157:L157" si="46">K158+K164+K167+K175+K178</f>
        <v>125852.5946299096</v>
      </c>
      <c r="L157" s="282">
        <f t="shared" si="46"/>
        <v>105852.5946299096</v>
      </c>
    </row>
    <row r="158" spans="2:15" s="247" customFormat="1">
      <c r="B158" s="248"/>
      <c r="C158" s="248"/>
      <c r="D158" s="248"/>
      <c r="E158" s="248"/>
      <c r="F158" s="275"/>
      <c r="G158" s="259" t="s">
        <v>486</v>
      </c>
      <c r="H158" s="282">
        <f>H159+H160+H161+H162+H163</f>
        <v>17281.915700000001</v>
      </c>
      <c r="I158" s="282">
        <f>I159+I160+I161+I162+I163</f>
        <v>25809.4</v>
      </c>
      <c r="J158" s="282">
        <f>J159+J160+J161+J162+J163</f>
        <v>25809.373000000003</v>
      </c>
      <c r="K158" s="282">
        <f t="shared" ref="K158:L158" si="47">K159+K160+K161+K162+K163</f>
        <v>34633.4371899096</v>
      </c>
      <c r="L158" s="282">
        <f t="shared" si="47"/>
        <v>34633.4371899096</v>
      </c>
    </row>
    <row r="159" spans="2:15">
      <c r="B159" s="232"/>
      <c r="C159" s="232"/>
      <c r="D159" s="232"/>
      <c r="E159" s="232"/>
      <c r="F159" s="284"/>
      <c r="G159" s="238" t="s">
        <v>501</v>
      </c>
      <c r="H159" s="283">
        <v>10071.608</v>
      </c>
      <c r="I159" s="456">
        <v>12859</v>
      </c>
      <c r="J159" s="283">
        <v>12859</v>
      </c>
      <c r="K159" s="283">
        <v>17856.107389909601</v>
      </c>
      <c r="L159" s="283">
        <v>17856.107389909601</v>
      </c>
    </row>
    <row r="160" spans="2:15">
      <c r="B160" s="232"/>
      <c r="C160" s="232"/>
      <c r="D160" s="232"/>
      <c r="E160" s="232"/>
      <c r="F160" s="284"/>
      <c r="G160" s="238" t="s">
        <v>502</v>
      </c>
      <c r="H160" s="283">
        <v>2836.0730000000003</v>
      </c>
      <c r="I160" s="456">
        <v>2836.1000000000004</v>
      </c>
      <c r="J160" s="283">
        <v>2836.0730000000003</v>
      </c>
      <c r="K160" s="283">
        <v>2836.0730000000003</v>
      </c>
      <c r="L160" s="283">
        <v>2836.0730000000003</v>
      </c>
    </row>
    <row r="161" spans="2:12">
      <c r="B161" s="232"/>
      <c r="C161" s="232"/>
      <c r="D161" s="232"/>
      <c r="E161" s="232"/>
      <c r="F161" s="284"/>
      <c r="G161" s="238" t="s">
        <v>503</v>
      </c>
      <c r="H161" s="283">
        <v>2954.9478999999997</v>
      </c>
      <c r="I161" s="456">
        <v>8672.6</v>
      </c>
      <c r="J161" s="283">
        <v>8672.6</v>
      </c>
      <c r="K161" s="283">
        <v>12499.5568</v>
      </c>
      <c r="L161" s="283">
        <v>12499.5568</v>
      </c>
    </row>
    <row r="162" spans="2:12">
      <c r="B162" s="232"/>
      <c r="C162" s="232"/>
      <c r="D162" s="232"/>
      <c r="E162" s="232"/>
      <c r="F162" s="284"/>
      <c r="G162" s="238" t="s">
        <v>504</v>
      </c>
      <c r="H162" s="283">
        <v>57.6</v>
      </c>
      <c r="I162" s="283">
        <v>80</v>
      </c>
      <c r="J162" s="283">
        <v>80</v>
      </c>
      <c r="K162" s="283">
        <v>80</v>
      </c>
      <c r="L162" s="283">
        <v>80</v>
      </c>
    </row>
    <row r="163" spans="2:12">
      <c r="B163" s="232"/>
      <c r="C163" s="232"/>
      <c r="D163" s="232"/>
      <c r="E163" s="232"/>
      <c r="F163" s="284"/>
      <c r="G163" s="238" t="s">
        <v>487</v>
      </c>
      <c r="H163" s="283">
        <v>1361.6867999999999</v>
      </c>
      <c r="I163" s="456">
        <v>1361.7</v>
      </c>
      <c r="J163" s="283">
        <v>1361.7</v>
      </c>
      <c r="K163" s="283">
        <v>1361.7</v>
      </c>
      <c r="L163" s="283">
        <v>1361.7</v>
      </c>
    </row>
    <row r="164" spans="2:12" s="247" customFormat="1" ht="14.25" customHeight="1">
      <c r="B164" s="248"/>
      <c r="C164" s="248"/>
      <c r="D164" s="248"/>
      <c r="E164" s="248"/>
      <c r="F164" s="275"/>
      <c r="G164" s="269" t="s">
        <v>467</v>
      </c>
      <c r="H164" s="282">
        <f>H165+H166</f>
        <v>37698.57</v>
      </c>
      <c r="I164" s="282">
        <f>I165+I166</f>
        <v>9432</v>
      </c>
      <c r="J164" s="282">
        <f>J165+J166</f>
        <v>24642</v>
      </c>
      <c r="K164" s="282">
        <f t="shared" ref="K164:L164" si="48">K165+K166</f>
        <v>43085.462340000005</v>
      </c>
      <c r="L164" s="282">
        <f t="shared" si="48"/>
        <v>23085.462340000002</v>
      </c>
    </row>
    <row r="165" spans="2:12">
      <c r="B165" s="232"/>
      <c r="C165" s="232"/>
      <c r="D165" s="232"/>
      <c r="E165" s="232"/>
      <c r="F165" s="284"/>
      <c r="G165" s="238" t="s">
        <v>468</v>
      </c>
      <c r="H165" s="283">
        <v>3262.7</v>
      </c>
      <c r="I165" s="283">
        <v>4632</v>
      </c>
      <c r="J165" s="283">
        <v>4777</v>
      </c>
      <c r="K165" s="283">
        <v>5212.3</v>
      </c>
      <c r="L165" s="283">
        <v>5212.3</v>
      </c>
    </row>
    <row r="166" spans="2:12">
      <c r="B166" s="232"/>
      <c r="C166" s="232"/>
      <c r="D166" s="232"/>
      <c r="E166" s="232"/>
      <c r="F166" s="284"/>
      <c r="G166" s="238" t="s">
        <v>469</v>
      </c>
      <c r="H166" s="283">
        <v>34435.870000000003</v>
      </c>
      <c r="I166" s="283">
        <v>4800</v>
      </c>
      <c r="J166" s="283">
        <v>19865</v>
      </c>
      <c r="K166" s="283">
        <v>37873.162340000003</v>
      </c>
      <c r="L166" s="283">
        <v>17873.162340000003</v>
      </c>
    </row>
    <row r="167" spans="2:12" s="247" customFormat="1" ht="21.75" customHeight="1">
      <c r="B167" s="248"/>
      <c r="C167" s="248"/>
      <c r="D167" s="248"/>
      <c r="E167" s="248"/>
      <c r="F167" s="275"/>
      <c r="G167" s="259" t="s">
        <v>470</v>
      </c>
      <c r="H167" s="282">
        <f>SUM(H168:H174)</f>
        <v>24878.834899999998</v>
      </c>
      <c r="I167" s="282">
        <f>SUM(I168:I174)</f>
        <v>37038.800000000003</v>
      </c>
      <c r="J167" s="282">
        <f t="shared" ref="J167:L167" si="49">SUM(J168:J174)</f>
        <v>34287.999900000003</v>
      </c>
      <c r="K167" s="282">
        <f t="shared" si="49"/>
        <v>37947.999900000003</v>
      </c>
      <c r="L167" s="282">
        <f t="shared" si="49"/>
        <v>37947.999900000003</v>
      </c>
    </row>
    <row r="168" spans="2:12" ht="21.75" customHeight="1">
      <c r="B168" s="232"/>
      <c r="C168" s="232"/>
      <c r="D168" s="232"/>
      <c r="E168" s="232"/>
      <c r="F168" s="284"/>
      <c r="G168" s="238" t="s">
        <v>505</v>
      </c>
      <c r="H168" s="283"/>
      <c r="I168" s="283"/>
      <c r="J168" s="283"/>
      <c r="K168" s="283"/>
      <c r="L168" s="283"/>
    </row>
    <row r="169" spans="2:12">
      <c r="B169" s="232"/>
      <c r="C169" s="232"/>
      <c r="D169" s="232"/>
      <c r="E169" s="232"/>
      <c r="F169" s="284"/>
      <c r="G169" s="238" t="s">
        <v>506</v>
      </c>
      <c r="H169" s="283">
        <v>16445</v>
      </c>
      <c r="I169" s="283">
        <v>21045.8</v>
      </c>
      <c r="J169" s="283">
        <v>13965</v>
      </c>
      <c r="K169" s="283">
        <v>21125</v>
      </c>
      <c r="L169" s="283">
        <v>21125</v>
      </c>
    </row>
    <row r="170" spans="2:12" ht="21.6">
      <c r="B170" s="232"/>
      <c r="C170" s="232"/>
      <c r="D170" s="232"/>
      <c r="E170" s="232"/>
      <c r="F170" s="284"/>
      <c r="G170" s="238" t="s">
        <v>507</v>
      </c>
      <c r="H170" s="283">
        <v>171.6</v>
      </c>
      <c r="I170" s="283">
        <v>1068</v>
      </c>
      <c r="J170" s="283">
        <v>1068</v>
      </c>
      <c r="K170" s="283">
        <v>1068</v>
      </c>
      <c r="L170" s="283">
        <v>1068</v>
      </c>
    </row>
    <row r="171" spans="2:12">
      <c r="B171" s="232"/>
      <c r="C171" s="232"/>
      <c r="D171" s="232"/>
      <c r="E171" s="232"/>
      <c r="F171" s="284"/>
      <c r="G171" s="238" t="s">
        <v>471</v>
      </c>
      <c r="H171" s="283">
        <v>420</v>
      </c>
      <c r="I171" s="283">
        <v>500</v>
      </c>
      <c r="J171" s="283">
        <v>500</v>
      </c>
      <c r="K171" s="283">
        <v>500</v>
      </c>
      <c r="L171" s="283">
        <v>500</v>
      </c>
    </row>
    <row r="172" spans="2:12">
      <c r="B172" s="232"/>
      <c r="C172" s="232"/>
      <c r="D172" s="232"/>
      <c r="E172" s="232"/>
      <c r="F172" s="284"/>
      <c r="G172" s="238" t="s">
        <v>472</v>
      </c>
      <c r="H172" s="283">
        <v>2819.7</v>
      </c>
      <c r="I172" s="283">
        <v>4610</v>
      </c>
      <c r="J172" s="283">
        <v>4820.0999000000002</v>
      </c>
      <c r="K172" s="283">
        <v>4820.0999000000002</v>
      </c>
      <c r="L172" s="283">
        <v>4820.0999000000002</v>
      </c>
    </row>
    <row r="173" spans="2:12">
      <c r="B173" s="232"/>
      <c r="C173" s="232"/>
      <c r="D173" s="232"/>
      <c r="E173" s="232"/>
      <c r="F173" s="284"/>
      <c r="G173" s="238" t="s">
        <v>473</v>
      </c>
      <c r="H173" s="283">
        <v>3890.8629000000001</v>
      </c>
      <c r="I173" s="283">
        <v>1500</v>
      </c>
      <c r="J173" s="283">
        <v>5000</v>
      </c>
      <c r="K173" s="283">
        <v>1500</v>
      </c>
      <c r="L173" s="283">
        <v>1500</v>
      </c>
    </row>
    <row r="174" spans="2:12">
      <c r="B174" s="232"/>
      <c r="C174" s="232"/>
      <c r="D174" s="232"/>
      <c r="E174" s="232"/>
      <c r="F174" s="284"/>
      <c r="G174" s="238" t="s">
        <v>477</v>
      </c>
      <c r="H174" s="283">
        <v>1131.672</v>
      </c>
      <c r="I174" s="283">
        <v>8315</v>
      </c>
      <c r="J174" s="283">
        <v>8934.9</v>
      </c>
      <c r="K174" s="283">
        <v>8934.9</v>
      </c>
      <c r="L174" s="283">
        <v>8934.9</v>
      </c>
    </row>
    <row r="175" spans="2:12" s="247" customFormat="1" ht="22.8">
      <c r="B175" s="248"/>
      <c r="C175" s="248"/>
      <c r="D175" s="248"/>
      <c r="E175" s="248"/>
      <c r="F175" s="275"/>
      <c r="G175" s="259" t="s">
        <v>508</v>
      </c>
      <c r="H175" s="282">
        <f>H176+H177</f>
        <v>11943.662999999999</v>
      </c>
      <c r="I175" s="459">
        <f>I176+I177</f>
        <v>2600</v>
      </c>
      <c r="J175" s="282">
        <f>J176+J177</f>
        <v>2587.06</v>
      </c>
      <c r="K175" s="282">
        <f t="shared" ref="K175:L175" si="50">K176+K177</f>
        <v>3675</v>
      </c>
      <c r="L175" s="282">
        <f t="shared" si="50"/>
        <v>3675</v>
      </c>
    </row>
    <row r="176" spans="2:12">
      <c r="B176" s="232"/>
      <c r="C176" s="232"/>
      <c r="D176" s="232"/>
      <c r="E176" s="232"/>
      <c r="F176" s="284"/>
      <c r="G176" s="238" t="s">
        <v>509</v>
      </c>
      <c r="H176" s="283">
        <v>10010.707999999999</v>
      </c>
      <c r="I176" s="283">
        <v>1000</v>
      </c>
      <c r="J176" s="283">
        <v>1000</v>
      </c>
      <c r="K176" s="283">
        <v>1000</v>
      </c>
      <c r="L176" s="283">
        <v>1000</v>
      </c>
    </row>
    <row r="177" spans="2:12" ht="21.6">
      <c r="B177" s="232"/>
      <c r="C177" s="232"/>
      <c r="D177" s="232"/>
      <c r="E177" s="232"/>
      <c r="F177" s="284"/>
      <c r="G177" s="238" t="s">
        <v>510</v>
      </c>
      <c r="H177" s="283">
        <v>1932.9549999999999</v>
      </c>
      <c r="I177" s="283">
        <v>1600</v>
      </c>
      <c r="J177" s="283">
        <v>1587.06</v>
      </c>
      <c r="K177" s="283">
        <v>2675</v>
      </c>
      <c r="L177" s="283">
        <v>2675</v>
      </c>
    </row>
    <row r="178" spans="2:12" s="247" customFormat="1">
      <c r="B178" s="248"/>
      <c r="C178" s="248"/>
      <c r="D178" s="248"/>
      <c r="E178" s="248"/>
      <c r="F178" s="275"/>
      <c r="G178" s="259" t="s">
        <v>474</v>
      </c>
      <c r="H178" s="282">
        <f>H179+H180+H181+H182</f>
        <v>5370.2416000000003</v>
      </c>
      <c r="I178" s="459">
        <f>I179+I180+I181+I182</f>
        <v>4870.6839999999993</v>
      </c>
      <c r="J178" s="282">
        <f>J179+J180+J181+J182</f>
        <v>4910.7299999999996</v>
      </c>
      <c r="K178" s="282">
        <f t="shared" ref="K178:L178" si="51">K179+K180+K181+K182</f>
        <v>6510.6952000000001</v>
      </c>
      <c r="L178" s="282">
        <f t="shared" si="51"/>
        <v>6510.6952000000001</v>
      </c>
    </row>
    <row r="179" spans="2:12">
      <c r="B179" s="232"/>
      <c r="C179" s="232"/>
      <c r="D179" s="232"/>
      <c r="E179" s="232"/>
      <c r="F179" s="284"/>
      <c r="G179" s="238" t="s">
        <v>475</v>
      </c>
      <c r="H179" s="283">
        <v>2759.9315999999999</v>
      </c>
      <c r="I179" s="457">
        <v>2793.2</v>
      </c>
      <c r="J179" s="283">
        <v>2793.2</v>
      </c>
      <c r="K179" s="283">
        <v>2793.2</v>
      </c>
      <c r="L179" s="456">
        <v>2793.2</v>
      </c>
    </row>
    <row r="180" spans="2:12">
      <c r="B180" s="232"/>
      <c r="C180" s="232"/>
      <c r="D180" s="232"/>
      <c r="E180" s="232"/>
      <c r="F180" s="284"/>
      <c r="G180" s="238" t="s">
        <v>482</v>
      </c>
      <c r="H180" s="283">
        <v>1298.4000000000001</v>
      </c>
      <c r="I180" s="457">
        <v>1179.9839999999999</v>
      </c>
      <c r="J180" s="283">
        <v>1220.03</v>
      </c>
      <c r="K180" s="283">
        <v>2819.9952000000003</v>
      </c>
      <c r="L180" s="456">
        <v>2819.9952000000003</v>
      </c>
    </row>
    <row r="181" spans="2:12">
      <c r="B181" s="232"/>
      <c r="C181" s="232"/>
      <c r="D181" s="232"/>
      <c r="E181" s="232"/>
      <c r="F181" s="284"/>
      <c r="G181" s="238" t="s">
        <v>488</v>
      </c>
      <c r="H181" s="283">
        <v>684.46</v>
      </c>
      <c r="I181" s="457">
        <v>684.49999999999989</v>
      </c>
      <c r="J181" s="283">
        <v>684.49999999999989</v>
      </c>
      <c r="K181" s="283">
        <v>684.49999999999989</v>
      </c>
      <c r="L181" s="456">
        <v>684.49999999999989</v>
      </c>
    </row>
    <row r="182" spans="2:12">
      <c r="B182" s="232"/>
      <c r="C182" s="232"/>
      <c r="D182" s="232"/>
      <c r="E182" s="232"/>
      <c r="F182" s="284"/>
      <c r="G182" s="238" t="s">
        <v>478</v>
      </c>
      <c r="H182" s="283">
        <v>627.45000000000016</v>
      </c>
      <c r="I182" s="457">
        <v>213</v>
      </c>
      <c r="J182" s="283">
        <v>213</v>
      </c>
      <c r="K182" s="283">
        <v>213</v>
      </c>
      <c r="L182" s="456">
        <v>213</v>
      </c>
    </row>
    <row r="183" spans="2:12" s="247" customFormat="1">
      <c r="B183" s="248"/>
      <c r="C183" s="248"/>
      <c r="D183" s="248"/>
      <c r="E183" s="248"/>
      <c r="F183" s="275"/>
      <c r="G183" s="259" t="s">
        <v>483</v>
      </c>
      <c r="H183" s="282">
        <f>H184</f>
        <v>899.6191</v>
      </c>
      <c r="I183" s="458">
        <f>I184</f>
        <v>540</v>
      </c>
      <c r="J183" s="282">
        <f>J184</f>
        <v>522.62</v>
      </c>
      <c r="K183" s="282">
        <f t="shared" ref="K183:L183" si="52">K184</f>
        <v>540</v>
      </c>
      <c r="L183" s="282">
        <f t="shared" si="52"/>
        <v>540</v>
      </c>
    </row>
    <row r="184" spans="2:12" ht="32.4">
      <c r="B184" s="232"/>
      <c r="C184" s="232"/>
      <c r="D184" s="232"/>
      <c r="E184" s="232"/>
      <c r="F184" s="285"/>
      <c r="G184" s="238" t="s">
        <v>511</v>
      </c>
      <c r="H184" s="283">
        <v>899.6191</v>
      </c>
      <c r="I184" s="283">
        <v>540</v>
      </c>
      <c r="J184" s="283">
        <v>522.62</v>
      </c>
      <c r="K184" s="283">
        <v>540</v>
      </c>
      <c r="L184" s="283">
        <v>540</v>
      </c>
    </row>
    <row r="185" spans="2:12" s="247" customFormat="1" ht="21" customHeight="1">
      <c r="B185" s="248"/>
      <c r="C185" s="248"/>
      <c r="D185" s="248"/>
      <c r="E185" s="248"/>
      <c r="F185" s="270" t="str">
        <f>'[1]Tntesagitakan (2)'!B78</f>
        <v xml:space="preserve"> 11002</v>
      </c>
      <c r="G185" s="234" t="s">
        <v>512</v>
      </c>
      <c r="H185" s="282">
        <f>H187</f>
        <v>104878.844</v>
      </c>
      <c r="I185" s="282">
        <f>I187</f>
        <v>105442</v>
      </c>
      <c r="J185" s="282">
        <f>J187</f>
        <v>107588.29999999999</v>
      </c>
      <c r="K185" s="282">
        <f t="shared" ref="K185:L185" si="53">K187</f>
        <v>107588.29999999999</v>
      </c>
      <c r="L185" s="282">
        <f t="shared" si="53"/>
        <v>107588.29999999999</v>
      </c>
    </row>
    <row r="186" spans="2:12">
      <c r="B186" s="232"/>
      <c r="C186" s="232"/>
      <c r="D186" s="232"/>
      <c r="E186" s="232"/>
      <c r="F186" s="274"/>
      <c r="G186" s="238" t="s">
        <v>66</v>
      </c>
      <c r="H186" s="283"/>
      <c r="I186" s="283"/>
      <c r="J186" s="283"/>
      <c r="K186" s="283"/>
      <c r="L186" s="283"/>
    </row>
    <row r="187" spans="2:12" s="247" customFormat="1">
      <c r="B187" s="248"/>
      <c r="C187" s="248"/>
      <c r="D187" s="248"/>
      <c r="E187" s="248"/>
      <c r="F187" s="275"/>
      <c r="G187" s="259" t="s">
        <v>454</v>
      </c>
      <c r="H187" s="282">
        <f>H189</f>
        <v>104878.844</v>
      </c>
      <c r="I187" s="282">
        <f>I189</f>
        <v>105442</v>
      </c>
      <c r="J187" s="282">
        <f>J189</f>
        <v>107588.29999999999</v>
      </c>
      <c r="K187" s="282">
        <f t="shared" ref="K187:L187" si="54">K189</f>
        <v>107588.29999999999</v>
      </c>
      <c r="L187" s="282">
        <f t="shared" si="54"/>
        <v>107588.29999999999</v>
      </c>
    </row>
    <row r="188" spans="2:12" ht="21.6">
      <c r="B188" s="232"/>
      <c r="C188" s="232"/>
      <c r="D188" s="232"/>
      <c r="E188" s="232"/>
      <c r="F188" s="275"/>
      <c r="G188" s="242" t="s">
        <v>455</v>
      </c>
      <c r="H188" s="283"/>
      <c r="I188" s="283"/>
      <c r="J188" s="283"/>
      <c r="K188" s="283"/>
      <c r="L188" s="283"/>
    </row>
    <row r="189" spans="2:12" s="247" customFormat="1">
      <c r="B189" s="248"/>
      <c r="C189" s="248"/>
      <c r="D189" s="248"/>
      <c r="E189" s="248"/>
      <c r="F189" s="275"/>
      <c r="G189" s="269" t="s">
        <v>456</v>
      </c>
      <c r="H189" s="282">
        <f>H190</f>
        <v>104878.844</v>
      </c>
      <c r="I189" s="282">
        <f>I190</f>
        <v>105442</v>
      </c>
      <c r="J189" s="282">
        <f>J190</f>
        <v>107588.29999999999</v>
      </c>
      <c r="K189" s="282">
        <f t="shared" ref="K189:L189" si="55">K190</f>
        <v>107588.29999999999</v>
      </c>
      <c r="L189" s="282">
        <f t="shared" si="55"/>
        <v>107588.29999999999</v>
      </c>
    </row>
    <row r="190" spans="2:12" s="247" customFormat="1">
      <c r="B190" s="248"/>
      <c r="C190" s="248"/>
      <c r="D190" s="248"/>
      <c r="E190" s="248"/>
      <c r="F190" s="275"/>
      <c r="G190" s="259" t="s">
        <v>457</v>
      </c>
      <c r="H190" s="282">
        <f>H191+H195+H215</f>
        <v>104878.844</v>
      </c>
      <c r="I190" s="282">
        <f>I191+I195+I215</f>
        <v>105442</v>
      </c>
      <c r="J190" s="282">
        <f>J191+J195+J215</f>
        <v>107588.29999999999</v>
      </c>
      <c r="K190" s="282">
        <f>K191+K195+K215</f>
        <v>107588.29999999999</v>
      </c>
      <c r="L190" s="282">
        <f>L191+L195+L215</f>
        <v>107588.29999999999</v>
      </c>
    </row>
    <row r="191" spans="2:12" s="247" customFormat="1">
      <c r="B191" s="248"/>
      <c r="C191" s="248"/>
      <c r="D191" s="248"/>
      <c r="E191" s="248"/>
      <c r="F191" s="275"/>
      <c r="G191" s="259" t="s">
        <v>463</v>
      </c>
      <c r="H191" s="282">
        <f>H192</f>
        <v>101103.8</v>
      </c>
      <c r="I191" s="282">
        <f>I192</f>
        <v>101103.8</v>
      </c>
      <c r="J191" s="282">
        <f>J192</f>
        <v>103250.09999999999</v>
      </c>
      <c r="K191" s="282">
        <f>K192</f>
        <v>103250.09999999999</v>
      </c>
      <c r="L191" s="282">
        <f>L192</f>
        <v>103250.09999999999</v>
      </c>
    </row>
    <row r="192" spans="2:12" s="247" customFormat="1">
      <c r="B192" s="248"/>
      <c r="C192" s="248"/>
      <c r="D192" s="248"/>
      <c r="E192" s="248"/>
      <c r="F192" s="275"/>
      <c r="G192" s="259" t="s">
        <v>464</v>
      </c>
      <c r="H192" s="282">
        <f>H193+H194</f>
        <v>101103.8</v>
      </c>
      <c r="I192" s="282">
        <f>I193+I194</f>
        <v>101103.8</v>
      </c>
      <c r="J192" s="282">
        <f>J193+J194</f>
        <v>103250.09999999999</v>
      </c>
      <c r="K192" s="282">
        <f t="shared" ref="K192:L192" si="56">K193+K194</f>
        <v>103250.09999999999</v>
      </c>
      <c r="L192" s="282">
        <f t="shared" si="56"/>
        <v>103250.09999999999</v>
      </c>
    </row>
    <row r="193" spans="2:12">
      <c r="B193" s="232"/>
      <c r="C193" s="232"/>
      <c r="D193" s="232"/>
      <c r="E193" s="232"/>
      <c r="F193" s="284"/>
      <c r="G193" s="238" t="s">
        <v>465</v>
      </c>
      <c r="H193" s="283">
        <v>89510.1</v>
      </c>
      <c r="I193" s="283">
        <v>89510.1</v>
      </c>
      <c r="J193" s="283">
        <v>89328.7</v>
      </c>
      <c r="K193" s="283">
        <v>89328.7</v>
      </c>
      <c r="L193" s="283">
        <v>89328.7</v>
      </c>
    </row>
    <row r="194" spans="2:12" ht="21.6">
      <c r="B194" s="232"/>
      <c r="C194" s="232"/>
      <c r="D194" s="232"/>
      <c r="E194" s="232"/>
      <c r="F194" s="284"/>
      <c r="G194" s="238" t="s">
        <v>498</v>
      </c>
      <c r="H194" s="283">
        <v>11593.7</v>
      </c>
      <c r="I194" s="283">
        <v>11593.7</v>
      </c>
      <c r="J194" s="283">
        <v>13921.4</v>
      </c>
      <c r="K194" s="283">
        <v>13921.4</v>
      </c>
      <c r="L194" s="283">
        <v>13921.4</v>
      </c>
    </row>
    <row r="195" spans="2:12" s="247" customFormat="1" ht="22.8">
      <c r="B195" s="248"/>
      <c r="C195" s="248"/>
      <c r="D195" s="248"/>
      <c r="E195" s="248"/>
      <c r="F195" s="275"/>
      <c r="G195" s="269" t="s">
        <v>466</v>
      </c>
      <c r="H195" s="282">
        <f>H196+H202+H204+H209+H211</f>
        <v>3775.0439999999999</v>
      </c>
      <c r="I195" s="282">
        <f>I196+I202+I204+I209+I211</f>
        <v>4338.2</v>
      </c>
      <c r="J195" s="282">
        <f>J196+J202+J204+J209+J211</f>
        <v>4338.2</v>
      </c>
      <c r="K195" s="282">
        <f t="shared" ref="K195:L195" si="57">K196+K202+K204+K209+K211</f>
        <v>4338.2</v>
      </c>
      <c r="L195" s="282">
        <f t="shared" si="57"/>
        <v>4338.2</v>
      </c>
    </row>
    <row r="196" spans="2:12" s="247" customFormat="1">
      <c r="B196" s="248"/>
      <c r="C196" s="248"/>
      <c r="D196" s="248"/>
      <c r="E196" s="248"/>
      <c r="F196" s="275"/>
      <c r="G196" s="259" t="s">
        <v>486</v>
      </c>
      <c r="H196" s="282">
        <f>SUM(H197:H201)</f>
        <v>2466.2440000000001</v>
      </c>
      <c r="I196" s="282">
        <f>SUM(I197:I201)</f>
        <v>3026.2</v>
      </c>
      <c r="J196" s="282">
        <f>SUM(J197:J201)</f>
        <v>3026.2</v>
      </c>
      <c r="K196" s="282">
        <f t="shared" ref="K196:L196" si="58">SUM(K197:K201)</f>
        <v>3026.2</v>
      </c>
      <c r="L196" s="282">
        <f t="shared" si="58"/>
        <v>3026.2</v>
      </c>
    </row>
    <row r="197" spans="2:12">
      <c r="B197" s="232"/>
      <c r="C197" s="232"/>
      <c r="D197" s="232"/>
      <c r="E197" s="232"/>
      <c r="F197" s="284"/>
      <c r="G197" s="238" t="s">
        <v>501</v>
      </c>
      <c r="H197" s="283">
        <v>2000</v>
      </c>
      <c r="I197" s="283">
        <v>2431.1999999999998</v>
      </c>
      <c r="J197" s="283">
        <v>2431.1999999999998</v>
      </c>
      <c r="K197" s="283">
        <v>2431.1999999999998</v>
      </c>
      <c r="L197" s="283">
        <v>2431.1999999999998</v>
      </c>
    </row>
    <row r="198" spans="2:12">
      <c r="B198" s="232"/>
      <c r="C198" s="232"/>
      <c r="D198" s="232"/>
      <c r="E198" s="232"/>
      <c r="F198" s="284"/>
      <c r="G198" s="238" t="s">
        <v>502</v>
      </c>
      <c r="H198" s="283">
        <v>43.892000000000003</v>
      </c>
      <c r="I198" s="283">
        <v>95</v>
      </c>
      <c r="J198" s="283">
        <v>95</v>
      </c>
      <c r="K198" s="283">
        <v>95</v>
      </c>
      <c r="L198" s="283">
        <v>95</v>
      </c>
    </row>
    <row r="199" spans="2:12">
      <c r="B199" s="232"/>
      <c r="C199" s="232"/>
      <c r="D199" s="232"/>
      <c r="E199" s="232"/>
      <c r="F199" s="284"/>
      <c r="G199" s="238" t="s">
        <v>503</v>
      </c>
      <c r="H199" s="283">
        <v>422.35199999999998</v>
      </c>
      <c r="I199" s="283">
        <v>500</v>
      </c>
      <c r="J199" s="283">
        <v>500</v>
      </c>
      <c r="K199" s="283">
        <v>500</v>
      </c>
      <c r="L199" s="283">
        <v>500</v>
      </c>
    </row>
    <row r="200" spans="2:12">
      <c r="B200" s="232"/>
      <c r="C200" s="232"/>
      <c r="D200" s="232"/>
      <c r="E200" s="232"/>
      <c r="F200" s="284"/>
      <c r="G200" s="238" t="s">
        <v>504</v>
      </c>
      <c r="H200" s="283"/>
      <c r="I200" s="283"/>
      <c r="J200" s="283"/>
      <c r="K200" s="283"/>
      <c r="L200" s="283"/>
    </row>
    <row r="201" spans="2:12">
      <c r="B201" s="232"/>
      <c r="C201" s="232"/>
      <c r="D201" s="232"/>
      <c r="E201" s="232"/>
      <c r="F201" s="284"/>
      <c r="G201" s="238" t="s">
        <v>487</v>
      </c>
      <c r="H201" s="283"/>
      <c r="I201" s="283"/>
      <c r="J201" s="283"/>
      <c r="K201" s="283"/>
      <c r="L201" s="283"/>
    </row>
    <row r="202" spans="2:12" s="247" customFormat="1">
      <c r="B202" s="248"/>
      <c r="C202" s="248"/>
      <c r="D202" s="248"/>
      <c r="E202" s="248"/>
      <c r="F202" s="275"/>
      <c r="G202" s="269" t="s">
        <v>467</v>
      </c>
      <c r="H202" s="282">
        <f>SUM(H203)</f>
        <v>698.8</v>
      </c>
      <c r="I202" s="282">
        <f>SUM(I203)</f>
        <v>700</v>
      </c>
      <c r="J202" s="282">
        <f>SUM(J203)</f>
        <v>700</v>
      </c>
      <c r="K202" s="282">
        <f>SUM(K203)</f>
        <v>700</v>
      </c>
      <c r="L202" s="282">
        <f>SUM(L203)</f>
        <v>700</v>
      </c>
    </row>
    <row r="203" spans="2:12">
      <c r="B203" s="232"/>
      <c r="C203" s="232"/>
      <c r="D203" s="232"/>
      <c r="E203" s="232"/>
      <c r="F203" s="284"/>
      <c r="G203" s="238" t="s">
        <v>468</v>
      </c>
      <c r="H203" s="283">
        <v>698.8</v>
      </c>
      <c r="I203" s="283">
        <v>700</v>
      </c>
      <c r="J203" s="283">
        <v>700</v>
      </c>
      <c r="K203" s="283">
        <v>700</v>
      </c>
      <c r="L203" s="283">
        <v>700</v>
      </c>
    </row>
    <row r="204" spans="2:12" s="247" customFormat="1">
      <c r="B204" s="248"/>
      <c r="C204" s="248"/>
      <c r="D204" s="248"/>
      <c r="E204" s="248"/>
      <c r="F204" s="275"/>
      <c r="G204" s="269" t="s">
        <v>470</v>
      </c>
      <c r="H204" s="282">
        <f>SUM(H205:H208)</f>
        <v>262</v>
      </c>
      <c r="I204" s="282">
        <f t="shared" ref="I204:L204" si="59">SUM(I205:I208)</f>
        <v>262</v>
      </c>
      <c r="J204" s="282">
        <f>SUM(J205:J208)</f>
        <v>262</v>
      </c>
      <c r="K204" s="282">
        <f t="shared" si="59"/>
        <v>262</v>
      </c>
      <c r="L204" s="282">
        <f t="shared" si="59"/>
        <v>262</v>
      </c>
    </row>
    <row r="205" spans="2:12">
      <c r="B205" s="232"/>
      <c r="C205" s="232"/>
      <c r="D205" s="232"/>
      <c r="E205" s="232"/>
      <c r="F205" s="284"/>
      <c r="G205" s="238" t="s">
        <v>506</v>
      </c>
      <c r="H205" s="283">
        <v>162</v>
      </c>
      <c r="I205" s="283">
        <v>162</v>
      </c>
      <c r="J205" s="283">
        <v>162</v>
      </c>
      <c r="K205" s="283">
        <v>162</v>
      </c>
      <c r="L205" s="283">
        <v>162</v>
      </c>
    </row>
    <row r="206" spans="2:12">
      <c r="B206" s="232"/>
      <c r="C206" s="232"/>
      <c r="D206" s="232"/>
      <c r="E206" s="232"/>
      <c r="F206" s="284"/>
      <c r="G206" s="238" t="s">
        <v>471</v>
      </c>
      <c r="H206" s="283"/>
      <c r="I206" s="283"/>
      <c r="J206" s="283"/>
      <c r="K206" s="283"/>
      <c r="L206" s="283"/>
    </row>
    <row r="207" spans="2:12">
      <c r="B207" s="232"/>
      <c r="C207" s="232"/>
      <c r="D207" s="232"/>
      <c r="E207" s="232"/>
      <c r="F207" s="284"/>
      <c r="G207" s="238" t="s">
        <v>473</v>
      </c>
      <c r="H207" s="283">
        <v>100</v>
      </c>
      <c r="I207" s="283">
        <v>100</v>
      </c>
      <c r="J207" s="283">
        <v>100</v>
      </c>
      <c r="K207" s="283">
        <v>100</v>
      </c>
      <c r="L207" s="283">
        <v>100</v>
      </c>
    </row>
    <row r="208" spans="2:12">
      <c r="B208" s="232"/>
      <c r="C208" s="232"/>
      <c r="D208" s="232"/>
      <c r="E208" s="232"/>
      <c r="F208" s="284"/>
      <c r="G208" s="238" t="s">
        <v>477</v>
      </c>
      <c r="H208" s="283"/>
      <c r="I208" s="283"/>
      <c r="J208" s="283"/>
      <c r="K208" s="283"/>
      <c r="L208" s="283"/>
    </row>
    <row r="209" spans="2:13" s="247" customFormat="1" ht="22.8">
      <c r="B209" s="248"/>
      <c r="C209" s="248"/>
      <c r="D209" s="248"/>
      <c r="E209" s="248"/>
      <c r="F209" s="275"/>
      <c r="G209" s="269" t="s">
        <v>508</v>
      </c>
      <c r="H209" s="282">
        <f>SUM(H210)</f>
        <v>98</v>
      </c>
      <c r="I209" s="282">
        <f>SUM(I210)</f>
        <v>100</v>
      </c>
      <c r="J209" s="282">
        <f>SUM(J210)</f>
        <v>100</v>
      </c>
      <c r="K209" s="282">
        <f>SUM(K210)</f>
        <v>100</v>
      </c>
      <c r="L209" s="282">
        <f>SUM(L210)</f>
        <v>100</v>
      </c>
    </row>
    <row r="210" spans="2:13" ht="21.6">
      <c r="B210" s="232"/>
      <c r="C210" s="232"/>
      <c r="D210" s="232"/>
      <c r="E210" s="232"/>
      <c r="F210" s="284"/>
      <c r="G210" s="238" t="s">
        <v>510</v>
      </c>
      <c r="H210" s="283">
        <v>98</v>
      </c>
      <c r="I210" s="283">
        <v>100</v>
      </c>
      <c r="J210" s="283">
        <v>100</v>
      </c>
      <c r="K210" s="283">
        <v>100</v>
      </c>
      <c r="L210" s="283">
        <v>100</v>
      </c>
    </row>
    <row r="211" spans="2:13" s="247" customFormat="1">
      <c r="B211" s="248"/>
      <c r="C211" s="248"/>
      <c r="D211" s="248"/>
      <c r="E211" s="248"/>
      <c r="F211" s="275"/>
      <c r="G211" s="269" t="s">
        <v>474</v>
      </c>
      <c r="H211" s="282">
        <f>SUM(H212:H214)</f>
        <v>250</v>
      </c>
      <c r="I211" s="282">
        <f>SUM(I212:I214)</f>
        <v>250</v>
      </c>
      <c r="J211" s="282">
        <f>SUM(J212:J214)</f>
        <v>250</v>
      </c>
      <c r="K211" s="282">
        <f>SUM(K212:K214)</f>
        <v>250</v>
      </c>
      <c r="L211" s="282">
        <f>SUM(L212:L214)</f>
        <v>250</v>
      </c>
    </row>
    <row r="212" spans="2:13">
      <c r="B212" s="232"/>
      <c r="C212" s="232"/>
      <c r="D212" s="232"/>
      <c r="E212" s="232"/>
      <c r="F212" s="284"/>
      <c r="G212" s="238" t="s">
        <v>475</v>
      </c>
      <c r="H212" s="283">
        <v>150</v>
      </c>
      <c r="I212" s="283">
        <v>150</v>
      </c>
      <c r="J212" s="283">
        <v>150</v>
      </c>
      <c r="K212" s="283">
        <v>150</v>
      </c>
      <c r="L212" s="283">
        <v>150</v>
      </c>
    </row>
    <row r="213" spans="2:13">
      <c r="B213" s="232"/>
      <c r="C213" s="232"/>
      <c r="D213" s="232"/>
      <c r="E213" s="232"/>
      <c r="F213" s="284"/>
      <c r="G213" s="238" t="s">
        <v>482</v>
      </c>
      <c r="H213" s="283"/>
      <c r="I213" s="283"/>
      <c r="J213" s="283"/>
      <c r="K213" s="283"/>
      <c r="L213" s="283"/>
    </row>
    <row r="214" spans="2:13">
      <c r="B214" s="232"/>
      <c r="C214" s="232"/>
      <c r="D214" s="232"/>
      <c r="E214" s="232"/>
      <c r="F214" s="284"/>
      <c r="G214" s="238" t="s">
        <v>488</v>
      </c>
      <c r="H214" s="283">
        <v>100</v>
      </c>
      <c r="I214" s="283">
        <v>100</v>
      </c>
      <c r="J214" s="283">
        <v>100</v>
      </c>
      <c r="K214" s="283">
        <v>100</v>
      </c>
      <c r="L214" s="283">
        <v>100</v>
      </c>
    </row>
    <row r="215" spans="2:13" s="247" customFormat="1">
      <c r="B215" s="248"/>
      <c r="C215" s="248"/>
      <c r="D215" s="248"/>
      <c r="E215" s="248"/>
      <c r="F215" s="275"/>
      <c r="G215" s="269" t="s">
        <v>483</v>
      </c>
      <c r="H215" s="282">
        <f>H216</f>
        <v>0</v>
      </c>
      <c r="I215" s="282">
        <f>I216</f>
        <v>0</v>
      </c>
      <c r="J215" s="282">
        <f>J216</f>
        <v>0</v>
      </c>
      <c r="K215" s="282">
        <f>K216</f>
        <v>0</v>
      </c>
      <c r="L215" s="282">
        <f>L216</f>
        <v>0</v>
      </c>
    </row>
    <row r="216" spans="2:13" ht="32.4">
      <c r="B216" s="232"/>
      <c r="C216" s="232"/>
      <c r="D216" s="232"/>
      <c r="E216" s="232"/>
      <c r="F216" s="285"/>
      <c r="G216" s="238" t="s">
        <v>511</v>
      </c>
      <c r="H216" s="283"/>
      <c r="I216" s="283"/>
      <c r="J216" s="283"/>
      <c r="K216" s="283"/>
      <c r="L216" s="283"/>
    </row>
    <row r="217" spans="2:13" s="247" customFormat="1">
      <c r="B217" s="248"/>
      <c r="C217" s="248"/>
      <c r="D217" s="248"/>
      <c r="E217" s="248"/>
      <c r="F217" s="455">
        <v>11003</v>
      </c>
      <c r="G217" s="296" t="s">
        <v>431</v>
      </c>
      <c r="H217" s="286">
        <f>H219</f>
        <v>3761701</v>
      </c>
      <c r="I217" s="286">
        <f>I219</f>
        <v>5680741.8999999994</v>
      </c>
      <c r="J217" s="286">
        <f>J219</f>
        <v>6671538.3167088125</v>
      </c>
      <c r="K217" s="286">
        <f>K219</f>
        <v>7547787.2083354797</v>
      </c>
      <c r="L217" s="286">
        <f>L219</f>
        <v>7562829.8315888122</v>
      </c>
    </row>
    <row r="218" spans="2:13">
      <c r="B218" s="232"/>
      <c r="C218" s="232"/>
      <c r="D218" s="232"/>
      <c r="E218" s="236"/>
      <c r="F218" s="297"/>
      <c r="G218" s="238" t="s">
        <v>66</v>
      </c>
      <c r="H218" s="229"/>
      <c r="I218" s="229"/>
      <c r="J218" s="239"/>
      <c r="K218" s="239"/>
      <c r="L218" s="239"/>
    </row>
    <row r="219" spans="2:13" ht="21.6">
      <c r="B219" s="232"/>
      <c r="C219" s="232"/>
      <c r="D219" s="232"/>
      <c r="E219" s="236"/>
      <c r="F219" s="295"/>
      <c r="G219" s="238" t="s">
        <v>529</v>
      </c>
      <c r="H219" s="283">
        <f>H221</f>
        <v>3761701</v>
      </c>
      <c r="I219" s="283">
        <f>I221</f>
        <v>5680741.8999999994</v>
      </c>
      <c r="J219" s="283">
        <f>J221</f>
        <v>6671538.3167088125</v>
      </c>
      <c r="K219" s="283">
        <f>K221</f>
        <v>7547787.2083354797</v>
      </c>
      <c r="L219" s="283">
        <f>L221</f>
        <v>7562829.8315888122</v>
      </c>
    </row>
    <row r="220" spans="2:13" ht="21.6">
      <c r="B220" s="232"/>
      <c r="C220" s="232"/>
      <c r="D220" s="232"/>
      <c r="E220" s="236"/>
      <c r="F220" s="295"/>
      <c r="G220" s="242" t="s">
        <v>455</v>
      </c>
      <c r="H220" s="286"/>
      <c r="I220" s="286"/>
      <c r="J220" s="286"/>
      <c r="K220" s="286"/>
      <c r="L220" s="286"/>
    </row>
    <row r="221" spans="2:13" s="247" customFormat="1">
      <c r="B221" s="248"/>
      <c r="C221" s="248"/>
      <c r="D221" s="248"/>
      <c r="E221" s="249"/>
      <c r="F221" s="241"/>
      <c r="G221" s="255" t="s">
        <v>456</v>
      </c>
      <c r="H221" s="256">
        <f>H222</f>
        <v>3761701</v>
      </c>
      <c r="I221" s="385">
        <f>I222</f>
        <v>5680741.8999999994</v>
      </c>
      <c r="J221" s="257">
        <f t="shared" ref="J221:L221" si="60">J222</f>
        <v>6671538.3167088125</v>
      </c>
      <c r="K221" s="257">
        <f t="shared" si="60"/>
        <v>7547787.2083354797</v>
      </c>
      <c r="L221" s="257">
        <f t="shared" si="60"/>
        <v>7562829.8315888122</v>
      </c>
    </row>
    <row r="222" spans="2:13" s="247" customFormat="1">
      <c r="B222" s="248"/>
      <c r="C222" s="248"/>
      <c r="D222" s="248"/>
      <c r="E222" s="249"/>
      <c r="F222" s="241"/>
      <c r="G222" s="259" t="s">
        <v>457</v>
      </c>
      <c r="H222" s="282">
        <f>H223+H228+H249</f>
        <v>3761701</v>
      </c>
      <c r="I222" s="282">
        <f t="shared" ref="I222:J222" si="61">I223+I228+I249</f>
        <v>5680741.8999999994</v>
      </c>
      <c r="J222" s="282">
        <f t="shared" si="61"/>
        <v>6671538.3167088125</v>
      </c>
      <c r="K222" s="282">
        <f>K223+K228+K249</f>
        <v>7547787.2083354797</v>
      </c>
      <c r="L222" s="282">
        <f>L223+L228+L249</f>
        <v>7562829.8315888122</v>
      </c>
    </row>
    <row r="223" spans="2:13">
      <c r="B223" s="232"/>
      <c r="C223" s="232"/>
      <c r="D223" s="232"/>
      <c r="E223" s="236"/>
      <c r="F223" s="295"/>
      <c r="G223" s="259" t="s">
        <v>463</v>
      </c>
      <c r="H223" s="283">
        <f>H224</f>
        <v>3172311.1</v>
      </c>
      <c r="I223" s="283">
        <f>I224</f>
        <v>5307593.5999999996</v>
      </c>
      <c r="J223" s="283">
        <f>J224</f>
        <v>6203589.7999999998</v>
      </c>
      <c r="K223" s="283">
        <f>K224</f>
        <v>6389644.3916266663</v>
      </c>
      <c r="L223" s="283">
        <f>L224</f>
        <v>6404687.0148799997</v>
      </c>
      <c r="M223" s="247"/>
    </row>
    <row r="224" spans="2:13" s="247" customFormat="1">
      <c r="B224" s="248"/>
      <c r="C224" s="248"/>
      <c r="D224" s="248"/>
      <c r="E224" s="249"/>
      <c r="F224" s="241"/>
      <c r="G224" s="259" t="s">
        <v>464</v>
      </c>
      <c r="H224" s="256">
        <f>H225+H226+H227</f>
        <v>3172311.1</v>
      </c>
      <c r="I224" s="256">
        <f>I225+I226+I227</f>
        <v>5307593.5999999996</v>
      </c>
      <c r="J224" s="257">
        <f>J225+J226+J227</f>
        <v>6203589.7999999998</v>
      </c>
      <c r="K224" s="257">
        <f>K225+K226+K227</f>
        <v>6389644.3916266663</v>
      </c>
      <c r="L224" s="257">
        <f>L225+L226+L227</f>
        <v>6404687.0148799997</v>
      </c>
    </row>
    <row r="225" spans="2:13">
      <c r="B225" s="232"/>
      <c r="C225" s="232"/>
      <c r="D225" s="232"/>
      <c r="E225" s="236"/>
      <c r="F225" s="295"/>
      <c r="G225" s="238" t="s">
        <v>465</v>
      </c>
      <c r="H225" s="229">
        <v>2538546</v>
      </c>
      <c r="I225" s="229">
        <v>4506793.5999999996</v>
      </c>
      <c r="J225" s="239">
        <v>5367150.7</v>
      </c>
      <c r="K225" s="239">
        <v>5528119.2900266666</v>
      </c>
      <c r="L225" s="239">
        <v>5541133.67808</v>
      </c>
      <c r="M225" s="247"/>
    </row>
    <row r="226" spans="2:13" ht="21.6">
      <c r="B226" s="232"/>
      <c r="C226" s="232"/>
      <c r="D226" s="232"/>
      <c r="E226" s="236"/>
      <c r="F226" s="295"/>
      <c r="G226" s="238" t="s">
        <v>498</v>
      </c>
      <c r="H226" s="283">
        <v>570214.6</v>
      </c>
      <c r="I226" s="283">
        <v>331400</v>
      </c>
      <c r="J226" s="283">
        <v>514410.1</v>
      </c>
      <c r="K226" s="283">
        <v>335650.1</v>
      </c>
      <c r="L226" s="283">
        <v>336410.7</v>
      </c>
      <c r="M226" s="247"/>
    </row>
    <row r="227" spans="2:13" ht="21.6">
      <c r="B227" s="232"/>
      <c r="C227" s="232"/>
      <c r="D227" s="232"/>
      <c r="E227" s="236"/>
      <c r="F227" s="295"/>
      <c r="G227" s="238" t="s">
        <v>499</v>
      </c>
      <c r="H227" s="229">
        <v>63550.5</v>
      </c>
      <c r="I227" s="229">
        <v>469400</v>
      </c>
      <c r="J227" s="239">
        <v>322029</v>
      </c>
      <c r="K227" s="239">
        <v>525875.00160000008</v>
      </c>
      <c r="L227" s="239">
        <v>527142.63679999998</v>
      </c>
      <c r="M227" s="247"/>
    </row>
    <row r="228" spans="2:13" s="247" customFormat="1" ht="22.8">
      <c r="B228" s="248"/>
      <c r="C228" s="248"/>
      <c r="D228" s="248"/>
      <c r="E228" s="249"/>
      <c r="F228" s="241"/>
      <c r="G228" s="269" t="s">
        <v>466</v>
      </c>
      <c r="H228" s="282">
        <f>H229+H234+H237+H242+H245</f>
        <v>588386.90000000014</v>
      </c>
      <c r="I228" s="282">
        <f>I229+I234+I237+I242+I245</f>
        <v>372833.8</v>
      </c>
      <c r="J228" s="282">
        <f>J229+J234+J237+J242+J245</f>
        <v>466612.79670881294</v>
      </c>
      <c r="K228" s="282">
        <f t="shared" ref="K228:L228" si="62">K229+K234+K237+K242+K245</f>
        <v>1157828.316708813</v>
      </c>
      <c r="L228" s="282">
        <f t="shared" si="62"/>
        <v>1157828.316708813</v>
      </c>
    </row>
    <row r="229" spans="2:13" s="247" customFormat="1">
      <c r="B229" s="248"/>
      <c r="C229" s="248"/>
      <c r="D229" s="248"/>
      <c r="E229" s="249"/>
      <c r="F229" s="241"/>
      <c r="G229" s="269" t="s">
        <v>486</v>
      </c>
      <c r="H229" s="286">
        <f>H230+H231+H232+H233</f>
        <v>12136.9</v>
      </c>
      <c r="I229" s="286">
        <f>I230+I231+I232+I233</f>
        <v>17675.2</v>
      </c>
      <c r="J229" s="286">
        <f>J230+J231+J232+J233</f>
        <v>79266.99670881292</v>
      </c>
      <c r="K229" s="286">
        <f>K230+K231+K232+K233</f>
        <v>87576.99670881292</v>
      </c>
      <c r="L229" s="286">
        <f>L230+L231+L232+L233</f>
        <v>87576.99670881292</v>
      </c>
    </row>
    <row r="230" spans="2:13">
      <c r="B230" s="232"/>
      <c r="C230" s="232"/>
      <c r="D230" s="232"/>
      <c r="E230" s="236"/>
      <c r="F230" s="295"/>
      <c r="G230" s="238" t="s">
        <v>501</v>
      </c>
      <c r="H230" s="229">
        <v>5010.3999999999996</v>
      </c>
      <c r="I230" s="229">
        <v>5795.1</v>
      </c>
      <c r="J230" s="239">
        <v>68019.950708812918</v>
      </c>
      <c r="K230" s="239">
        <v>68019.950708812918</v>
      </c>
      <c r="L230" s="239">
        <v>68019.950708812918</v>
      </c>
      <c r="M230" s="247"/>
    </row>
    <row r="231" spans="2:13">
      <c r="B231" s="232"/>
      <c r="C231" s="232"/>
      <c r="D231" s="232"/>
      <c r="E231" s="236"/>
      <c r="F231" s="295"/>
      <c r="G231" s="238" t="s">
        <v>502</v>
      </c>
      <c r="H231" s="283">
        <v>407.6</v>
      </c>
      <c r="I231" s="283">
        <v>1000</v>
      </c>
      <c r="J231" s="283">
        <v>1000</v>
      </c>
      <c r="K231" s="283">
        <v>1000</v>
      </c>
      <c r="L231" s="283">
        <v>1000</v>
      </c>
      <c r="M231" s="247"/>
    </row>
    <row r="232" spans="2:13">
      <c r="B232" s="232"/>
      <c r="C232" s="232"/>
      <c r="D232" s="232"/>
      <c r="E232" s="236"/>
      <c r="F232" s="295"/>
      <c r="G232" s="238" t="s">
        <v>503</v>
      </c>
      <c r="H232" s="283">
        <v>3936.9</v>
      </c>
      <c r="I232" s="283">
        <v>7520.1</v>
      </c>
      <c r="J232" s="283">
        <v>7007.0459999999994</v>
      </c>
      <c r="K232" s="283">
        <v>7007.0459999999994</v>
      </c>
      <c r="L232" s="283">
        <v>7007.0459999999994</v>
      </c>
      <c r="M232" s="247"/>
    </row>
    <row r="233" spans="2:13">
      <c r="B233" s="232"/>
      <c r="C233" s="232"/>
      <c r="D233" s="232"/>
      <c r="E233" s="236"/>
      <c r="F233" s="295"/>
      <c r="G233" s="238" t="s">
        <v>504</v>
      </c>
      <c r="H233" s="229">
        <v>2782</v>
      </c>
      <c r="I233" s="229">
        <v>3360</v>
      </c>
      <c r="J233" s="239">
        <v>3240</v>
      </c>
      <c r="K233" s="239">
        <v>11550</v>
      </c>
      <c r="L233" s="239">
        <v>11550</v>
      </c>
      <c r="M233" s="247"/>
    </row>
    <row r="234" spans="2:13" s="247" customFormat="1">
      <c r="B234" s="248"/>
      <c r="C234" s="248"/>
      <c r="D234" s="248"/>
      <c r="E234" s="249"/>
      <c r="F234" s="241"/>
      <c r="G234" s="269" t="s">
        <v>467</v>
      </c>
      <c r="H234" s="256">
        <f>H235+H236</f>
        <v>30885.800000000003</v>
      </c>
      <c r="I234" s="256">
        <f>I235+I236</f>
        <v>51135</v>
      </c>
      <c r="J234" s="257">
        <f>J235+J236</f>
        <v>30885.800000000003</v>
      </c>
      <c r="K234" s="257">
        <f>K235+K236</f>
        <v>58720.92</v>
      </c>
      <c r="L234" s="257">
        <f>L235+L236</f>
        <v>58720.92</v>
      </c>
    </row>
    <row r="235" spans="2:13">
      <c r="B235" s="232"/>
      <c r="C235" s="232"/>
      <c r="D235" s="232"/>
      <c r="E235" s="236"/>
      <c r="F235" s="295"/>
      <c r="G235" s="238" t="s">
        <v>468</v>
      </c>
      <c r="H235" s="298">
        <v>21939.7</v>
      </c>
      <c r="I235" s="298">
        <v>49775</v>
      </c>
      <c r="J235" s="298">
        <v>21939.7</v>
      </c>
      <c r="K235" s="298">
        <v>49774.82</v>
      </c>
      <c r="L235" s="298">
        <v>49774.82</v>
      </c>
      <c r="M235" s="247"/>
    </row>
    <row r="236" spans="2:13">
      <c r="B236" s="232"/>
      <c r="C236" s="232"/>
      <c r="D236" s="232"/>
      <c r="E236" s="236"/>
      <c r="F236" s="295"/>
      <c r="G236" s="238" t="s">
        <v>469</v>
      </c>
      <c r="H236" s="229">
        <v>8946.1</v>
      </c>
      <c r="I236" s="229">
        <v>1360</v>
      </c>
      <c r="J236" s="239">
        <v>8946.1</v>
      </c>
      <c r="K236" s="239">
        <v>8946.0999999999985</v>
      </c>
      <c r="L236" s="239">
        <v>8946.0999999999985</v>
      </c>
      <c r="M236" s="247"/>
    </row>
    <row r="237" spans="2:13" s="247" customFormat="1" ht="13.5" customHeight="1">
      <c r="B237" s="248"/>
      <c r="C237" s="248"/>
      <c r="D237" s="248"/>
      <c r="E237" s="249"/>
      <c r="F237" s="241"/>
      <c r="G237" s="269" t="s">
        <v>470</v>
      </c>
      <c r="H237" s="282">
        <f>H238+H239+H240+H241</f>
        <v>91848.1</v>
      </c>
      <c r="I237" s="282">
        <f>I238+I239+I240+I241</f>
        <v>9895.5</v>
      </c>
      <c r="J237" s="282">
        <f>J238+J239+J240+J241</f>
        <v>9895.5</v>
      </c>
      <c r="K237" s="282">
        <f t="shared" ref="K237:L237" si="63">K238+K239+K240+K241</f>
        <v>9895.5</v>
      </c>
      <c r="L237" s="282">
        <f t="shared" si="63"/>
        <v>9895.5</v>
      </c>
    </row>
    <row r="238" spans="2:13">
      <c r="B238" s="232"/>
      <c r="C238" s="232"/>
      <c r="D238" s="232"/>
      <c r="E238" s="236"/>
      <c r="F238" s="295"/>
      <c r="G238" s="242" t="s">
        <v>506</v>
      </c>
      <c r="H238" s="298">
        <v>5385</v>
      </c>
      <c r="I238" s="298">
        <v>5607</v>
      </c>
      <c r="J238" s="298">
        <v>5607</v>
      </c>
      <c r="K238" s="298">
        <v>5607</v>
      </c>
      <c r="L238" s="298">
        <v>5607</v>
      </c>
      <c r="M238" s="247"/>
    </row>
    <row r="239" spans="2:13">
      <c r="B239" s="232"/>
      <c r="C239" s="232"/>
      <c r="D239" s="232"/>
      <c r="E239" s="236"/>
      <c r="F239" s="295"/>
      <c r="G239" s="242" t="s">
        <v>471</v>
      </c>
      <c r="H239" s="229">
        <v>257</v>
      </c>
      <c r="I239" s="229">
        <v>1000</v>
      </c>
      <c r="J239" s="229">
        <v>1000</v>
      </c>
      <c r="K239" s="229">
        <v>1000</v>
      </c>
      <c r="L239" s="229">
        <v>1000</v>
      </c>
      <c r="M239" s="247"/>
    </row>
    <row r="240" spans="2:13">
      <c r="B240" s="232"/>
      <c r="C240" s="232"/>
      <c r="D240" s="232"/>
      <c r="E240" s="236"/>
      <c r="F240" s="295"/>
      <c r="G240" s="242" t="s">
        <v>473</v>
      </c>
      <c r="H240" s="283">
        <v>7002.1</v>
      </c>
      <c r="I240" s="283">
        <v>900</v>
      </c>
      <c r="J240" s="283">
        <v>900</v>
      </c>
      <c r="K240" s="283">
        <v>900</v>
      </c>
      <c r="L240" s="283">
        <v>900</v>
      </c>
      <c r="M240" s="247"/>
    </row>
    <row r="241" spans="2:13">
      <c r="B241" s="232"/>
      <c r="C241" s="232"/>
      <c r="D241" s="232"/>
      <c r="E241" s="236"/>
      <c r="F241" s="295"/>
      <c r="G241" s="242" t="s">
        <v>477</v>
      </c>
      <c r="H241" s="283">
        <v>79204</v>
      </c>
      <c r="I241" s="283">
        <v>2388.5</v>
      </c>
      <c r="J241" s="283">
        <v>2388.5</v>
      </c>
      <c r="K241" s="283">
        <v>2388.5</v>
      </c>
      <c r="L241" s="283">
        <v>2388.5</v>
      </c>
      <c r="M241" s="247"/>
    </row>
    <row r="242" spans="2:13" s="247" customFormat="1" ht="22.8">
      <c r="B242" s="248"/>
      <c r="C242" s="248"/>
      <c r="D242" s="248"/>
      <c r="E242" s="249"/>
      <c r="F242" s="241"/>
      <c r="G242" s="269" t="s">
        <v>508</v>
      </c>
      <c r="H242" s="256">
        <f>H243+H244</f>
        <v>197162.40000000002</v>
      </c>
      <c r="I242" s="256">
        <f>I243+I244</f>
        <v>15658.5</v>
      </c>
      <c r="J242" s="257">
        <f>J243+J244</f>
        <v>92336.8</v>
      </c>
      <c r="K242" s="257">
        <f>K243+K244</f>
        <v>39958.5</v>
      </c>
      <c r="L242" s="257">
        <f>L243+L244</f>
        <v>39958.5</v>
      </c>
    </row>
    <row r="243" spans="2:13">
      <c r="B243" s="232"/>
      <c r="C243" s="232"/>
      <c r="D243" s="232"/>
      <c r="E243" s="236"/>
      <c r="F243" s="295"/>
      <c r="G243" s="238" t="s">
        <v>509</v>
      </c>
      <c r="H243" s="229">
        <v>186603.7</v>
      </c>
      <c r="I243" s="229">
        <v>458.5</v>
      </c>
      <c r="J243" s="298">
        <v>61610.400000000001</v>
      </c>
      <c r="K243" s="229">
        <v>458.5</v>
      </c>
      <c r="L243" s="229">
        <v>458.5</v>
      </c>
      <c r="M243" s="247"/>
    </row>
    <row r="244" spans="2:13" ht="22.5" customHeight="1">
      <c r="B244" s="232"/>
      <c r="C244" s="232"/>
      <c r="D244" s="232"/>
      <c r="E244" s="236"/>
      <c r="F244" s="295"/>
      <c r="G244" s="238" t="s">
        <v>510</v>
      </c>
      <c r="H244" s="298">
        <v>10558.699999999999</v>
      </c>
      <c r="I244" s="298">
        <v>15200</v>
      </c>
      <c r="J244" s="298">
        <v>30726.400000000001</v>
      </c>
      <c r="K244" s="298">
        <v>39500</v>
      </c>
      <c r="L244" s="298">
        <v>39500</v>
      </c>
      <c r="M244" s="247"/>
    </row>
    <row r="245" spans="2:13" s="247" customFormat="1">
      <c r="B245" s="248"/>
      <c r="C245" s="248"/>
      <c r="D245" s="248"/>
      <c r="E245" s="249"/>
      <c r="F245" s="241"/>
      <c r="G245" s="269" t="s">
        <v>474</v>
      </c>
      <c r="H245" s="256">
        <f>H246+H247+H248</f>
        <v>256353.7</v>
      </c>
      <c r="I245" s="256">
        <f>I246+I247+I248</f>
        <v>278469.59999999998</v>
      </c>
      <c r="J245" s="257">
        <f>J246+J247+J248</f>
        <v>254227.7</v>
      </c>
      <c r="K245" s="257">
        <f>K246+K247+K248</f>
        <v>961676.4</v>
      </c>
      <c r="L245" s="257">
        <f>L246+L247+L248</f>
        <v>961676.4</v>
      </c>
    </row>
    <row r="246" spans="2:13">
      <c r="B246" s="232"/>
      <c r="C246" s="232"/>
      <c r="D246" s="232"/>
      <c r="E246" s="236"/>
      <c r="F246" s="295"/>
      <c r="G246" s="238" t="s">
        <v>475</v>
      </c>
      <c r="H246" s="283">
        <v>199785.60000000001</v>
      </c>
      <c r="I246" s="283">
        <v>220195.8</v>
      </c>
      <c r="J246" s="283">
        <v>159426.4</v>
      </c>
      <c r="K246" s="283">
        <v>223426.4</v>
      </c>
      <c r="L246" s="283">
        <v>223426.4</v>
      </c>
      <c r="M246" s="247"/>
    </row>
    <row r="247" spans="2:13">
      <c r="B247" s="232"/>
      <c r="C247" s="232"/>
      <c r="D247" s="232"/>
      <c r="E247" s="236"/>
      <c r="F247" s="295"/>
      <c r="G247" s="238" t="s">
        <v>482</v>
      </c>
      <c r="H247" s="298">
        <v>50205</v>
      </c>
      <c r="I247" s="298">
        <v>57092</v>
      </c>
      <c r="J247" s="298">
        <v>93801.3</v>
      </c>
      <c r="K247" s="298">
        <v>738050</v>
      </c>
      <c r="L247" s="298">
        <v>738050</v>
      </c>
      <c r="M247" s="247"/>
    </row>
    <row r="248" spans="2:13">
      <c r="B248" s="232"/>
      <c r="C248" s="232"/>
      <c r="D248" s="232"/>
      <c r="E248" s="236"/>
      <c r="F248" s="295"/>
      <c r="G248" s="238" t="s">
        <v>488</v>
      </c>
      <c r="H248" s="229">
        <v>6363.1</v>
      </c>
      <c r="I248" s="229">
        <v>1181.8</v>
      </c>
      <c r="J248" s="239">
        <v>1000</v>
      </c>
      <c r="K248" s="239">
        <v>200</v>
      </c>
      <c r="L248" s="239">
        <v>200</v>
      </c>
      <c r="M248" s="247"/>
    </row>
    <row r="249" spans="2:13" s="247" customFormat="1" ht="19.5" customHeight="1">
      <c r="B249" s="248"/>
      <c r="C249" s="248"/>
      <c r="D249" s="248"/>
      <c r="E249" s="249"/>
      <c r="F249" s="241"/>
      <c r="G249" s="259" t="s">
        <v>483</v>
      </c>
      <c r="H249" s="282">
        <f>H250</f>
        <v>1003</v>
      </c>
      <c r="I249" s="282">
        <f>I250</f>
        <v>314.5</v>
      </c>
      <c r="J249" s="282">
        <f>J250</f>
        <v>1335.72</v>
      </c>
      <c r="K249" s="282">
        <f>K250</f>
        <v>314.5</v>
      </c>
      <c r="L249" s="282">
        <f>L250</f>
        <v>314.5</v>
      </c>
    </row>
    <row r="250" spans="2:13" ht="32.4">
      <c r="B250" s="232"/>
      <c r="C250" s="232"/>
      <c r="D250" s="232"/>
      <c r="E250" s="236"/>
      <c r="F250" s="290"/>
      <c r="G250" s="242" t="s">
        <v>511</v>
      </c>
      <c r="H250" s="283">
        <v>1003</v>
      </c>
      <c r="I250" s="283">
        <v>314.5</v>
      </c>
      <c r="J250" s="283">
        <v>1335.72</v>
      </c>
      <c r="K250" s="283">
        <v>314.5</v>
      </c>
      <c r="L250" s="283">
        <v>314.5</v>
      </c>
      <c r="M250" s="247"/>
    </row>
    <row r="251" spans="2:13" s="247" customFormat="1" ht="30.6" customHeight="1">
      <c r="B251" s="248"/>
      <c r="C251" s="248"/>
      <c r="D251" s="248"/>
      <c r="E251" s="248"/>
      <c r="F251" s="270">
        <v>11005</v>
      </c>
      <c r="G251" s="234" t="s">
        <v>658</v>
      </c>
      <c r="H251" s="282">
        <f>H253</f>
        <v>0</v>
      </c>
      <c r="I251" s="282">
        <f>I253</f>
        <v>1000000</v>
      </c>
      <c r="J251" s="282">
        <f>J253</f>
        <v>0</v>
      </c>
      <c r="K251" s="282">
        <f>K253</f>
        <v>0</v>
      </c>
      <c r="L251" s="282">
        <f>L253</f>
        <v>0</v>
      </c>
    </row>
    <row r="252" spans="2:13">
      <c r="B252" s="232"/>
      <c r="C252" s="232"/>
      <c r="D252" s="232"/>
      <c r="E252" s="232"/>
      <c r="F252" s="274"/>
      <c r="G252" s="238" t="s">
        <v>66</v>
      </c>
      <c r="H252" s="283"/>
      <c r="I252" s="283"/>
      <c r="J252" s="283"/>
      <c r="K252" s="283"/>
      <c r="L252" s="283"/>
      <c r="M252" s="247"/>
    </row>
    <row r="253" spans="2:13">
      <c r="B253" s="232"/>
      <c r="C253" s="232"/>
      <c r="D253" s="232"/>
      <c r="E253" s="232"/>
      <c r="F253" s="275"/>
      <c r="G253" s="242" t="s">
        <v>659</v>
      </c>
      <c r="H253" s="283">
        <f>H256</f>
        <v>0</v>
      </c>
      <c r="I253" s="283">
        <f>I256</f>
        <v>1000000</v>
      </c>
      <c r="J253" s="283">
        <f>J256</f>
        <v>0</v>
      </c>
      <c r="K253" s="283">
        <f>K256</f>
        <v>0</v>
      </c>
      <c r="L253" s="283">
        <f>L256</f>
        <v>0</v>
      </c>
      <c r="M253" s="247"/>
    </row>
    <row r="254" spans="2:13" ht="21.6">
      <c r="B254" s="232"/>
      <c r="C254" s="232"/>
      <c r="D254" s="232"/>
      <c r="E254" s="232"/>
      <c r="F254" s="275"/>
      <c r="G254" s="238" t="s">
        <v>455</v>
      </c>
      <c r="H254" s="283"/>
      <c r="I254" s="283"/>
      <c r="J254" s="283"/>
      <c r="K254" s="283"/>
      <c r="L254" s="283"/>
      <c r="M254" s="247"/>
    </row>
    <row r="255" spans="2:13">
      <c r="B255" s="232"/>
      <c r="C255" s="232"/>
      <c r="D255" s="232"/>
      <c r="E255" s="232"/>
      <c r="F255" s="275"/>
      <c r="G255" s="242" t="s">
        <v>456</v>
      </c>
      <c r="H255" s="283">
        <f>H256</f>
        <v>0</v>
      </c>
      <c r="I255" s="283">
        <f t="shared" ref="I255:L258" si="64">I256</f>
        <v>1000000</v>
      </c>
      <c r="J255" s="283">
        <f t="shared" si="64"/>
        <v>0</v>
      </c>
      <c r="K255" s="283">
        <f t="shared" si="64"/>
        <v>0</v>
      </c>
      <c r="L255" s="283">
        <f t="shared" si="64"/>
        <v>0</v>
      </c>
      <c r="M255" s="247"/>
    </row>
    <row r="256" spans="2:13">
      <c r="B256" s="232"/>
      <c r="C256" s="232"/>
      <c r="D256" s="232"/>
      <c r="E256" s="232"/>
      <c r="F256" s="275"/>
      <c r="G256" s="242" t="s">
        <v>457</v>
      </c>
      <c r="H256" s="283">
        <f>H257</f>
        <v>0</v>
      </c>
      <c r="I256" s="283">
        <f t="shared" si="64"/>
        <v>1000000</v>
      </c>
      <c r="J256" s="283">
        <f t="shared" si="64"/>
        <v>0</v>
      </c>
      <c r="K256" s="283">
        <f t="shared" si="64"/>
        <v>0</v>
      </c>
      <c r="L256" s="283">
        <f t="shared" si="64"/>
        <v>0</v>
      </c>
      <c r="M256" s="247"/>
    </row>
    <row r="257" spans="2:13" ht="21.6">
      <c r="B257" s="232"/>
      <c r="C257" s="232"/>
      <c r="D257" s="232"/>
      <c r="E257" s="232"/>
      <c r="F257" s="275"/>
      <c r="G257" s="242" t="s">
        <v>660</v>
      </c>
      <c r="H257" s="283">
        <f>H258</f>
        <v>0</v>
      </c>
      <c r="I257" s="283">
        <f>I258</f>
        <v>1000000</v>
      </c>
      <c r="J257" s="283">
        <f t="shared" si="64"/>
        <v>0</v>
      </c>
      <c r="K257" s="283">
        <f t="shared" si="64"/>
        <v>0</v>
      </c>
      <c r="L257" s="283">
        <f t="shared" si="64"/>
        <v>0</v>
      </c>
      <c r="M257" s="247"/>
    </row>
    <row r="258" spans="2:13">
      <c r="B258" s="232"/>
      <c r="C258" s="232"/>
      <c r="D258" s="232"/>
      <c r="E258" s="232"/>
      <c r="F258" s="275"/>
      <c r="G258" s="238" t="s">
        <v>470</v>
      </c>
      <c r="H258" s="283">
        <f>H259</f>
        <v>0</v>
      </c>
      <c r="I258" s="283">
        <f t="shared" si="64"/>
        <v>1000000</v>
      </c>
      <c r="J258" s="283">
        <f t="shared" si="64"/>
        <v>0</v>
      </c>
      <c r="K258" s="283">
        <f t="shared" si="64"/>
        <v>0</v>
      </c>
      <c r="L258" s="283">
        <f t="shared" si="64"/>
        <v>0</v>
      </c>
      <c r="M258" s="247"/>
    </row>
    <row r="259" spans="2:13">
      <c r="B259" s="232"/>
      <c r="C259" s="232"/>
      <c r="D259" s="232"/>
      <c r="E259" s="232"/>
      <c r="F259" s="278"/>
      <c r="G259" s="238" t="s">
        <v>477</v>
      </c>
      <c r="H259" s="283"/>
      <c r="I259" s="283">
        <v>1000000</v>
      </c>
      <c r="J259" s="283"/>
      <c r="K259" s="283"/>
      <c r="L259" s="283"/>
      <c r="M259" s="247"/>
    </row>
    <row r="260" spans="2:13" s="247" customFormat="1" ht="22.8">
      <c r="B260" s="248"/>
      <c r="C260" s="248"/>
      <c r="D260" s="248"/>
      <c r="E260" s="248"/>
      <c r="F260" s="270" t="str">
        <f>'[1]Tntesagitakan (2)'!B109</f>
        <v xml:space="preserve"> 31001</v>
      </c>
      <c r="G260" s="234" t="s">
        <v>513</v>
      </c>
      <c r="H260" s="282">
        <f>H262</f>
        <v>18228.579600000001</v>
      </c>
      <c r="I260" s="282">
        <f>I262</f>
        <v>0</v>
      </c>
      <c r="J260" s="282">
        <f>J262</f>
        <v>10000</v>
      </c>
      <c r="K260" s="282">
        <f>K262</f>
        <v>20505.599999999999</v>
      </c>
      <c r="L260" s="282">
        <f>L262</f>
        <v>20505.599999999999</v>
      </c>
    </row>
    <row r="261" spans="2:13">
      <c r="B261" s="232"/>
      <c r="C261" s="232"/>
      <c r="D261" s="232"/>
      <c r="E261" s="232"/>
      <c r="F261" s="274"/>
      <c r="G261" s="238" t="s">
        <v>66</v>
      </c>
      <c r="H261" s="283"/>
      <c r="I261" s="283"/>
      <c r="J261" s="283"/>
      <c r="K261" s="283"/>
      <c r="L261" s="283"/>
      <c r="M261" s="247"/>
    </row>
    <row r="262" spans="2:13">
      <c r="B262" s="232"/>
      <c r="C262" s="232"/>
      <c r="D262" s="232"/>
      <c r="E262" s="232"/>
      <c r="F262" s="275"/>
      <c r="G262" s="242" t="s">
        <v>454</v>
      </c>
      <c r="H262" s="283">
        <f>H264</f>
        <v>18228.579600000001</v>
      </c>
      <c r="I262" s="283">
        <f>I264</f>
        <v>0</v>
      </c>
      <c r="J262" s="283">
        <f>J264</f>
        <v>10000</v>
      </c>
      <c r="K262" s="283">
        <f>K264</f>
        <v>20505.599999999999</v>
      </c>
      <c r="L262" s="283">
        <f>L264</f>
        <v>20505.599999999999</v>
      </c>
      <c r="M262" s="247"/>
    </row>
    <row r="263" spans="2:13" ht="21.6">
      <c r="B263" s="232"/>
      <c r="C263" s="232"/>
      <c r="D263" s="232"/>
      <c r="E263" s="232"/>
      <c r="F263" s="275"/>
      <c r="G263" s="238" t="s">
        <v>455</v>
      </c>
      <c r="H263" s="283"/>
      <c r="I263" s="283"/>
      <c r="J263" s="283"/>
      <c r="K263" s="283"/>
      <c r="L263" s="283"/>
      <c r="M263" s="247"/>
    </row>
    <row r="264" spans="2:13">
      <c r="B264" s="232"/>
      <c r="C264" s="232"/>
      <c r="D264" s="232"/>
      <c r="E264" s="232"/>
      <c r="F264" s="275"/>
      <c r="G264" s="242" t="s">
        <v>456</v>
      </c>
      <c r="H264" s="283">
        <f t="shared" ref="H264:L267" si="65">H265</f>
        <v>18228.579600000001</v>
      </c>
      <c r="I264" s="283">
        <f t="shared" si="65"/>
        <v>0</v>
      </c>
      <c r="J264" s="283">
        <f t="shared" si="65"/>
        <v>10000</v>
      </c>
      <c r="K264" s="283">
        <f t="shared" si="65"/>
        <v>20505.599999999999</v>
      </c>
      <c r="L264" s="283">
        <f t="shared" si="65"/>
        <v>20505.599999999999</v>
      </c>
      <c r="M264" s="247"/>
    </row>
    <row r="265" spans="2:13">
      <c r="B265" s="232"/>
      <c r="C265" s="232"/>
      <c r="D265" s="232"/>
      <c r="E265" s="232"/>
      <c r="F265" s="275"/>
      <c r="G265" s="238" t="s">
        <v>491</v>
      </c>
      <c r="H265" s="283">
        <f t="shared" si="65"/>
        <v>18228.579600000001</v>
      </c>
      <c r="I265" s="283">
        <f t="shared" si="65"/>
        <v>0</v>
      </c>
      <c r="J265" s="283">
        <f t="shared" si="65"/>
        <v>10000</v>
      </c>
      <c r="K265" s="283">
        <f t="shared" si="65"/>
        <v>20505.599999999999</v>
      </c>
      <c r="L265" s="283">
        <f t="shared" si="65"/>
        <v>20505.599999999999</v>
      </c>
      <c r="M265" s="247"/>
    </row>
    <row r="266" spans="2:13">
      <c r="B266" s="232"/>
      <c r="C266" s="232"/>
      <c r="D266" s="232"/>
      <c r="E266" s="232"/>
      <c r="F266" s="275"/>
      <c r="G266" s="238" t="s">
        <v>492</v>
      </c>
      <c r="H266" s="283">
        <f t="shared" si="65"/>
        <v>18228.579600000001</v>
      </c>
      <c r="I266" s="283">
        <f t="shared" si="65"/>
        <v>0</v>
      </c>
      <c r="J266" s="283">
        <f t="shared" si="65"/>
        <v>10000</v>
      </c>
      <c r="K266" s="283">
        <f t="shared" si="65"/>
        <v>20505.599999999999</v>
      </c>
      <c r="L266" s="283">
        <f t="shared" si="65"/>
        <v>20505.599999999999</v>
      </c>
      <c r="M266" s="247"/>
    </row>
    <row r="267" spans="2:13">
      <c r="B267" s="232"/>
      <c r="C267" s="232"/>
      <c r="D267" s="232"/>
      <c r="E267" s="232"/>
      <c r="F267" s="275"/>
      <c r="G267" s="242" t="s">
        <v>493</v>
      </c>
      <c r="H267" s="283">
        <f t="shared" si="65"/>
        <v>18228.579600000001</v>
      </c>
      <c r="I267" s="283">
        <f t="shared" si="65"/>
        <v>0</v>
      </c>
      <c r="J267" s="283">
        <f t="shared" si="65"/>
        <v>10000</v>
      </c>
      <c r="K267" s="283">
        <f t="shared" si="65"/>
        <v>20505.599999999999</v>
      </c>
      <c r="L267" s="283">
        <f t="shared" si="65"/>
        <v>20505.599999999999</v>
      </c>
      <c r="M267" s="247"/>
    </row>
    <row r="268" spans="2:13">
      <c r="B268" s="232"/>
      <c r="C268" s="232"/>
      <c r="D268" s="232"/>
      <c r="E268" s="232"/>
      <c r="F268" s="275"/>
      <c r="G268" s="238" t="s">
        <v>494</v>
      </c>
      <c r="H268" s="389">
        <v>18228.579600000001</v>
      </c>
      <c r="I268" s="389"/>
      <c r="J268" s="389">
        <v>10000</v>
      </c>
      <c r="K268" s="389">
        <v>20505.599999999999</v>
      </c>
      <c r="L268" s="389">
        <v>20505.599999999999</v>
      </c>
      <c r="M268" s="247"/>
    </row>
    <row r="269" spans="2:13" s="247" customFormat="1" ht="22.8">
      <c r="B269" s="248"/>
      <c r="C269" s="248"/>
      <c r="D269" s="248"/>
      <c r="E269" s="248"/>
      <c r="F269" s="270">
        <v>31002</v>
      </c>
      <c r="G269" s="234" t="s">
        <v>435</v>
      </c>
      <c r="H269" s="286">
        <f>H271</f>
        <v>1269424.8</v>
      </c>
      <c r="I269" s="286">
        <f t="shared" ref="I269:L269" si="66">I271</f>
        <v>0</v>
      </c>
      <c r="J269" s="286">
        <f>J271</f>
        <v>76736</v>
      </c>
      <c r="K269" s="286">
        <f t="shared" si="66"/>
        <v>76736</v>
      </c>
      <c r="L269" s="286">
        <f t="shared" si="66"/>
        <v>76736</v>
      </c>
    </row>
    <row r="270" spans="2:13">
      <c r="B270" s="232"/>
      <c r="C270" s="232"/>
      <c r="D270" s="232"/>
      <c r="E270" s="236"/>
      <c r="F270" s="237"/>
      <c r="G270" s="238" t="s">
        <v>66</v>
      </c>
      <c r="H270" s="229"/>
      <c r="I270" s="229"/>
      <c r="J270" s="239"/>
      <c r="K270" s="239"/>
      <c r="L270" s="239"/>
      <c r="M270" s="247"/>
    </row>
    <row r="271" spans="2:13" ht="21.6">
      <c r="B271" s="232"/>
      <c r="C271" s="232"/>
      <c r="D271" s="232"/>
      <c r="E271" s="236"/>
      <c r="F271" s="241"/>
      <c r="G271" s="242" t="s">
        <v>530</v>
      </c>
      <c r="H271" s="283">
        <f>H273</f>
        <v>1269424.8</v>
      </c>
      <c r="I271" s="283">
        <f t="shared" ref="I271:L271" si="67">I273</f>
        <v>0</v>
      </c>
      <c r="J271" s="283">
        <f t="shared" si="67"/>
        <v>76736</v>
      </c>
      <c r="K271" s="283">
        <f t="shared" si="67"/>
        <v>76736</v>
      </c>
      <c r="L271" s="283">
        <f t="shared" si="67"/>
        <v>76736</v>
      </c>
      <c r="M271" s="247"/>
    </row>
    <row r="272" spans="2:13" ht="21.6">
      <c r="B272" s="232"/>
      <c r="C272" s="232"/>
      <c r="D272" s="232"/>
      <c r="E272" s="236"/>
      <c r="F272" s="241"/>
      <c r="G272" s="238" t="s">
        <v>455</v>
      </c>
      <c r="H272" s="286"/>
      <c r="I272" s="286"/>
      <c r="J272" s="286"/>
      <c r="K272" s="286"/>
      <c r="L272" s="286"/>
      <c r="M272" s="247"/>
    </row>
    <row r="273" spans="2:14">
      <c r="B273" s="232"/>
      <c r="C273" s="232"/>
      <c r="D273" s="232"/>
      <c r="E273" s="236"/>
      <c r="F273" s="241"/>
      <c r="G273" s="238" t="s">
        <v>456</v>
      </c>
      <c r="H273" s="229">
        <f t="shared" ref="H273:L276" si="68">H274</f>
        <v>1269424.8</v>
      </c>
      <c r="I273" s="229">
        <f t="shared" si="68"/>
        <v>0</v>
      </c>
      <c r="J273" s="239">
        <f t="shared" si="68"/>
        <v>76736</v>
      </c>
      <c r="K273" s="239">
        <f t="shared" si="68"/>
        <v>76736</v>
      </c>
      <c r="L273" s="239">
        <f t="shared" si="68"/>
        <v>76736</v>
      </c>
      <c r="M273" s="247"/>
    </row>
    <row r="274" spans="2:14">
      <c r="B274" s="232"/>
      <c r="C274" s="232"/>
      <c r="D274" s="232"/>
      <c r="E274" s="236"/>
      <c r="F274" s="241"/>
      <c r="G274" s="242" t="s">
        <v>491</v>
      </c>
      <c r="H274" s="283">
        <f>H275</f>
        <v>1269424.8</v>
      </c>
      <c r="I274" s="283">
        <f t="shared" si="68"/>
        <v>0</v>
      </c>
      <c r="J274" s="283">
        <f t="shared" si="68"/>
        <v>76736</v>
      </c>
      <c r="K274" s="283">
        <f t="shared" si="68"/>
        <v>76736</v>
      </c>
      <c r="L274" s="283">
        <f t="shared" si="68"/>
        <v>76736</v>
      </c>
      <c r="M274" s="247"/>
    </row>
    <row r="275" spans="2:14">
      <c r="B275" s="232"/>
      <c r="C275" s="232"/>
      <c r="D275" s="232"/>
      <c r="E275" s="236"/>
      <c r="F275" s="241"/>
      <c r="G275" s="238" t="s">
        <v>492</v>
      </c>
      <c r="H275" s="283">
        <f>H276</f>
        <v>1269424.8</v>
      </c>
      <c r="I275" s="283">
        <f t="shared" si="68"/>
        <v>0</v>
      </c>
      <c r="J275" s="283">
        <f t="shared" si="68"/>
        <v>76736</v>
      </c>
      <c r="K275" s="283">
        <f t="shared" si="68"/>
        <v>76736</v>
      </c>
      <c r="L275" s="283">
        <f t="shared" si="68"/>
        <v>76736</v>
      </c>
      <c r="M275" s="247"/>
    </row>
    <row r="276" spans="2:14">
      <c r="B276" s="232"/>
      <c r="C276" s="232"/>
      <c r="D276" s="232"/>
      <c r="E276" s="236"/>
      <c r="F276" s="930"/>
      <c r="G276" s="242" t="s">
        <v>493</v>
      </c>
      <c r="H276" s="256">
        <f>H277</f>
        <v>1269424.8</v>
      </c>
      <c r="I276" s="256">
        <f t="shared" si="68"/>
        <v>0</v>
      </c>
      <c r="J276" s="256">
        <f t="shared" si="68"/>
        <v>76736</v>
      </c>
      <c r="K276" s="256">
        <f t="shared" si="68"/>
        <v>76736</v>
      </c>
      <c r="L276" s="256">
        <f t="shared" si="68"/>
        <v>76736</v>
      </c>
      <c r="M276" s="247"/>
    </row>
    <row r="277" spans="2:14">
      <c r="B277" s="232"/>
      <c r="C277" s="232"/>
      <c r="D277" s="232"/>
      <c r="E277" s="236"/>
      <c r="F277" s="930"/>
      <c r="G277" s="238" t="s">
        <v>494</v>
      </c>
      <c r="H277" s="283">
        <v>1269424.8</v>
      </c>
      <c r="I277" s="283"/>
      <c r="J277" s="283">
        <v>76736</v>
      </c>
      <c r="K277" s="283">
        <v>76736</v>
      </c>
      <c r="L277" s="283">
        <v>76736</v>
      </c>
      <c r="M277" s="247"/>
    </row>
    <row r="278" spans="2:14" s="247" customFormat="1" ht="22.8">
      <c r="B278" s="248"/>
      <c r="C278" s="248"/>
      <c r="D278" s="248"/>
      <c r="E278" s="248"/>
      <c r="F278" s="270">
        <v>32003</v>
      </c>
      <c r="G278" s="234" t="s">
        <v>652</v>
      </c>
      <c r="H278" s="286">
        <f>H280</f>
        <v>0</v>
      </c>
      <c r="I278" s="286">
        <f t="shared" ref="I278:L278" si="69">I280</f>
        <v>341550</v>
      </c>
      <c r="J278" s="286">
        <f t="shared" si="69"/>
        <v>0</v>
      </c>
      <c r="K278" s="286">
        <f t="shared" si="69"/>
        <v>0</v>
      </c>
      <c r="L278" s="286">
        <f t="shared" si="69"/>
        <v>0</v>
      </c>
      <c r="N278" s="756"/>
    </row>
    <row r="279" spans="2:14">
      <c r="B279" s="232"/>
      <c r="C279" s="232"/>
      <c r="D279" s="232"/>
      <c r="E279" s="236"/>
      <c r="F279" s="237"/>
      <c r="G279" s="238" t="s">
        <v>66</v>
      </c>
      <c r="H279" s="229"/>
      <c r="I279" s="229"/>
      <c r="J279" s="239"/>
      <c r="K279" s="239"/>
      <c r="L279" s="239"/>
      <c r="M279" s="247"/>
    </row>
    <row r="280" spans="2:14" ht="21.6">
      <c r="B280" s="232"/>
      <c r="C280" s="232"/>
      <c r="D280" s="232"/>
      <c r="E280" s="236"/>
      <c r="F280" s="241"/>
      <c r="G280" s="242" t="s">
        <v>530</v>
      </c>
      <c r="H280" s="283">
        <f>H282</f>
        <v>0</v>
      </c>
      <c r="I280" s="283">
        <f t="shared" ref="I280:L280" si="70">I282</f>
        <v>341550</v>
      </c>
      <c r="J280" s="283">
        <f t="shared" si="70"/>
        <v>0</v>
      </c>
      <c r="K280" s="283">
        <f t="shared" si="70"/>
        <v>0</v>
      </c>
      <c r="L280" s="283">
        <f t="shared" si="70"/>
        <v>0</v>
      </c>
      <c r="M280" s="247"/>
    </row>
    <row r="281" spans="2:14" ht="21.6">
      <c r="B281" s="232"/>
      <c r="C281" s="232"/>
      <c r="D281" s="232"/>
      <c r="E281" s="236"/>
      <c r="F281" s="241"/>
      <c r="G281" s="238" t="s">
        <v>455</v>
      </c>
      <c r="H281" s="286"/>
      <c r="I281" s="286"/>
      <c r="J281" s="286"/>
      <c r="K281" s="286"/>
      <c r="L281" s="286"/>
      <c r="M281" s="247"/>
    </row>
    <row r="282" spans="2:14">
      <c r="B282" s="232"/>
      <c r="C282" s="232"/>
      <c r="D282" s="232"/>
      <c r="E282" s="236"/>
      <c r="F282" s="387"/>
      <c r="G282" s="238" t="s">
        <v>456</v>
      </c>
      <c r="H282" s="229">
        <f>H283</f>
        <v>0</v>
      </c>
      <c r="I282" s="229">
        <f t="shared" ref="I282:L283" si="71">I283</f>
        <v>341550</v>
      </c>
      <c r="J282" s="239">
        <f t="shared" si="71"/>
        <v>0</v>
      </c>
      <c r="K282" s="239">
        <f t="shared" si="71"/>
        <v>0</v>
      </c>
      <c r="L282" s="239">
        <f t="shared" si="71"/>
        <v>0</v>
      </c>
      <c r="M282" s="247"/>
    </row>
    <row r="283" spans="2:14">
      <c r="B283" s="232"/>
      <c r="C283" s="232"/>
      <c r="D283" s="232"/>
      <c r="E283" s="236"/>
      <c r="F283" s="387"/>
      <c r="G283" s="242" t="s">
        <v>491</v>
      </c>
      <c r="H283" s="283">
        <f>H284</f>
        <v>0</v>
      </c>
      <c r="I283" s="283">
        <f t="shared" si="71"/>
        <v>341550</v>
      </c>
      <c r="J283" s="283">
        <f t="shared" si="71"/>
        <v>0</v>
      </c>
      <c r="K283" s="283">
        <f t="shared" si="71"/>
        <v>0</v>
      </c>
      <c r="L283" s="283">
        <f t="shared" si="71"/>
        <v>0</v>
      </c>
      <c r="M283" s="247"/>
    </row>
    <row r="284" spans="2:14">
      <c r="B284" s="232"/>
      <c r="C284" s="232"/>
      <c r="D284" s="232"/>
      <c r="E284" s="236"/>
      <c r="F284" s="387"/>
      <c r="G284" s="238" t="s">
        <v>492</v>
      </c>
      <c r="H284" s="283">
        <f>H285+H288</f>
        <v>0</v>
      </c>
      <c r="I284" s="283">
        <f t="shared" ref="I284:L284" si="72">I285+I288</f>
        <v>341550</v>
      </c>
      <c r="J284" s="283">
        <f t="shared" si="72"/>
        <v>0</v>
      </c>
      <c r="K284" s="283">
        <f t="shared" si="72"/>
        <v>0</v>
      </c>
      <c r="L284" s="283">
        <f t="shared" si="72"/>
        <v>0</v>
      </c>
      <c r="M284" s="247"/>
    </row>
    <row r="285" spans="2:14">
      <c r="B285" s="232"/>
      <c r="C285" s="232"/>
      <c r="D285" s="232"/>
      <c r="E285" s="236"/>
      <c r="F285" s="387"/>
      <c r="G285" s="238" t="s">
        <v>653</v>
      </c>
      <c r="H285" s="229">
        <f>H286+H287</f>
        <v>0</v>
      </c>
      <c r="I285" s="229">
        <f t="shared" ref="I285:L285" si="73">I286+I287</f>
        <v>330000</v>
      </c>
      <c r="J285" s="229">
        <f t="shared" si="73"/>
        <v>0</v>
      </c>
      <c r="K285" s="229">
        <f t="shared" si="73"/>
        <v>0</v>
      </c>
      <c r="L285" s="229">
        <f t="shared" si="73"/>
        <v>0</v>
      </c>
      <c r="M285" s="247"/>
    </row>
    <row r="286" spans="2:14">
      <c r="B286" s="232"/>
      <c r="C286" s="232"/>
      <c r="D286" s="232"/>
      <c r="E286" s="236"/>
      <c r="F286" s="387"/>
      <c r="G286" s="238" t="s">
        <v>654</v>
      </c>
      <c r="H286" s="283"/>
      <c r="I286" s="283">
        <v>270000</v>
      </c>
      <c r="J286" s="283"/>
      <c r="K286" s="283"/>
      <c r="L286" s="283"/>
      <c r="M286" s="247"/>
    </row>
    <row r="287" spans="2:14">
      <c r="B287" s="232"/>
      <c r="C287" s="232"/>
      <c r="D287" s="232"/>
      <c r="E287" s="236"/>
      <c r="F287" s="387"/>
      <c r="G287" s="238" t="s">
        <v>655</v>
      </c>
      <c r="H287" s="283"/>
      <c r="I287" s="283">
        <v>60000</v>
      </c>
      <c r="J287" s="283"/>
      <c r="K287" s="283"/>
      <c r="L287" s="283"/>
      <c r="M287" s="247"/>
    </row>
    <row r="288" spans="2:14">
      <c r="B288" s="232"/>
      <c r="C288" s="232"/>
      <c r="D288" s="232"/>
      <c r="E288" s="236"/>
      <c r="F288" s="387"/>
      <c r="G288" s="238" t="s">
        <v>514</v>
      </c>
      <c r="H288" s="283">
        <f>H289</f>
        <v>0</v>
      </c>
      <c r="I288" s="283">
        <f t="shared" ref="I288:L288" si="74">I289</f>
        <v>11550</v>
      </c>
      <c r="J288" s="283">
        <f t="shared" si="74"/>
        <v>0</v>
      </c>
      <c r="K288" s="283">
        <f t="shared" si="74"/>
        <v>0</v>
      </c>
      <c r="L288" s="283">
        <f t="shared" si="74"/>
        <v>0</v>
      </c>
      <c r="M288" s="247"/>
    </row>
    <row r="289" spans="2:13">
      <c r="B289" s="232"/>
      <c r="C289" s="232"/>
      <c r="D289" s="232"/>
      <c r="E289" s="236"/>
      <c r="F289" s="388"/>
      <c r="G289" s="238" t="s">
        <v>524</v>
      </c>
      <c r="H289" s="283"/>
      <c r="I289" s="283">
        <v>11550</v>
      </c>
      <c r="J289" s="283"/>
      <c r="K289" s="283"/>
      <c r="L289" s="283"/>
      <c r="M289" s="247"/>
    </row>
    <row r="290" spans="2:13" s="288" customFormat="1" ht="39" customHeight="1">
      <c r="B290" s="310" t="s">
        <v>450</v>
      </c>
      <c r="C290" s="310" t="s">
        <v>515</v>
      </c>
      <c r="D290" s="310" t="s">
        <v>452</v>
      </c>
      <c r="E290" s="311" t="str">
        <f>'[1]Tntesagitakan (2)'!A127</f>
        <v xml:space="preserve"> 1133</v>
      </c>
      <c r="F290" s="311"/>
      <c r="G290" s="311" t="s">
        <v>516</v>
      </c>
      <c r="H290" s="315">
        <f>H292</f>
        <v>846472</v>
      </c>
      <c r="I290" s="315">
        <f t="shared" ref="I290:L290" si="75">I292</f>
        <v>685960.9</v>
      </c>
      <c r="J290" s="315">
        <f t="shared" si="75"/>
        <v>728280.31864499999</v>
      </c>
      <c r="K290" s="315">
        <f t="shared" si="75"/>
        <v>1035365.05116</v>
      </c>
      <c r="L290" s="315">
        <f t="shared" si="75"/>
        <v>713684.23562499951</v>
      </c>
      <c r="M290" s="247"/>
    </row>
    <row r="291" spans="2:13">
      <c r="B291" s="226"/>
      <c r="C291" s="226"/>
      <c r="D291" s="226"/>
      <c r="E291" s="226"/>
      <c r="F291" s="227"/>
      <c r="G291" s="226" t="s">
        <v>497</v>
      </c>
      <c r="H291" s="229"/>
      <c r="I291" s="229"/>
      <c r="J291" s="239"/>
      <c r="K291" s="240"/>
      <c r="L291" s="240"/>
      <c r="M291" s="247"/>
    </row>
    <row r="292" spans="2:13" s="247" customFormat="1" ht="18.75" customHeight="1">
      <c r="B292" s="248"/>
      <c r="C292" s="248"/>
      <c r="D292" s="248"/>
      <c r="E292" s="248"/>
      <c r="F292" s="233" t="str">
        <f>'[1]Tntesagitakan (2)'!B129</f>
        <v xml:space="preserve"> 12001</v>
      </c>
      <c r="G292" s="234" t="s">
        <v>387</v>
      </c>
      <c r="H292" s="235">
        <f>H294</f>
        <v>846472</v>
      </c>
      <c r="I292" s="235">
        <f>I294</f>
        <v>685960.9</v>
      </c>
      <c r="J292" s="246">
        <f>J294</f>
        <v>728280.31864499999</v>
      </c>
      <c r="K292" s="246">
        <f t="shared" ref="K292:L292" si="76">K294</f>
        <v>1035365.05116</v>
      </c>
      <c r="L292" s="246">
        <f t="shared" si="76"/>
        <v>713684.23562499951</v>
      </c>
    </row>
    <row r="293" spans="2:13">
      <c r="B293" s="232"/>
      <c r="C293" s="232"/>
      <c r="D293" s="232"/>
      <c r="E293" s="236"/>
      <c r="F293" s="237"/>
      <c r="G293" s="238" t="s">
        <v>66</v>
      </c>
      <c r="H293" s="229"/>
      <c r="I293" s="229"/>
      <c r="J293" s="239"/>
      <c r="K293" s="239"/>
      <c r="L293" s="239"/>
      <c r="M293" s="247"/>
    </row>
    <row r="294" spans="2:13">
      <c r="B294" s="232"/>
      <c r="C294" s="232"/>
      <c r="D294" s="232"/>
      <c r="E294" s="236"/>
      <c r="F294" s="241"/>
      <c r="G294" s="242" t="s">
        <v>454</v>
      </c>
      <c r="H294" s="283">
        <f>H296</f>
        <v>846472</v>
      </c>
      <c r="I294" s="283">
        <f>I296</f>
        <v>685960.9</v>
      </c>
      <c r="J294" s="283">
        <f>J296</f>
        <v>728280.31864499999</v>
      </c>
      <c r="K294" s="283">
        <f t="shared" ref="K294:L294" si="77">K296</f>
        <v>1035365.05116</v>
      </c>
      <c r="L294" s="283">
        <f t="shared" si="77"/>
        <v>713684.23562499951</v>
      </c>
      <c r="M294" s="247"/>
    </row>
    <row r="295" spans="2:13" ht="21.6">
      <c r="B295" s="232"/>
      <c r="C295" s="232"/>
      <c r="D295" s="232"/>
      <c r="E295" s="236"/>
      <c r="F295" s="241"/>
      <c r="G295" s="238" t="s">
        <v>455</v>
      </c>
      <c r="H295" s="283"/>
      <c r="I295" s="283"/>
      <c r="J295" s="283"/>
      <c r="K295" s="283"/>
      <c r="L295" s="283"/>
      <c r="M295" s="247"/>
    </row>
    <row r="296" spans="2:13">
      <c r="B296" s="232"/>
      <c r="C296" s="232"/>
      <c r="D296" s="232"/>
      <c r="E296" s="236"/>
      <c r="F296" s="241"/>
      <c r="G296" s="242" t="s">
        <v>456</v>
      </c>
      <c r="H296" s="283">
        <f t="shared" ref="H296:L299" si="78">H297</f>
        <v>846472</v>
      </c>
      <c r="I296" s="283">
        <f t="shared" si="78"/>
        <v>685960.9</v>
      </c>
      <c r="J296" s="283">
        <f t="shared" si="78"/>
        <v>728280.31864499999</v>
      </c>
      <c r="K296" s="283">
        <f t="shared" si="78"/>
        <v>1035365.05116</v>
      </c>
      <c r="L296" s="283">
        <f t="shared" si="78"/>
        <v>713684.23562499951</v>
      </c>
      <c r="M296" s="247"/>
    </row>
    <row r="297" spans="2:13">
      <c r="B297" s="232"/>
      <c r="C297" s="232"/>
      <c r="D297" s="232"/>
      <c r="E297" s="236"/>
      <c r="F297" s="241"/>
      <c r="G297" s="238" t="s">
        <v>457</v>
      </c>
      <c r="H297" s="283">
        <f t="shared" si="78"/>
        <v>846472</v>
      </c>
      <c r="I297" s="283">
        <f t="shared" si="78"/>
        <v>685960.9</v>
      </c>
      <c r="J297" s="283">
        <f t="shared" si="78"/>
        <v>728280.31864499999</v>
      </c>
      <c r="K297" s="283">
        <f t="shared" si="78"/>
        <v>1035365.05116</v>
      </c>
      <c r="L297" s="283">
        <f t="shared" si="78"/>
        <v>713684.23562499951</v>
      </c>
      <c r="M297" s="247"/>
    </row>
    <row r="298" spans="2:13">
      <c r="B298" s="232"/>
      <c r="C298" s="232"/>
      <c r="D298" s="232"/>
      <c r="E298" s="236"/>
      <c r="F298" s="241"/>
      <c r="G298" s="238" t="s">
        <v>458</v>
      </c>
      <c r="H298" s="283">
        <f t="shared" si="78"/>
        <v>846472</v>
      </c>
      <c r="I298" s="283">
        <f t="shared" si="78"/>
        <v>685960.9</v>
      </c>
      <c r="J298" s="283">
        <f t="shared" si="78"/>
        <v>728280.31864499999</v>
      </c>
      <c r="K298" s="283">
        <f t="shared" si="78"/>
        <v>1035365.05116</v>
      </c>
      <c r="L298" s="283">
        <f t="shared" si="78"/>
        <v>713684.23562499951</v>
      </c>
      <c r="M298" s="247"/>
    </row>
    <row r="299" spans="2:13" ht="21.6">
      <c r="B299" s="232"/>
      <c r="C299" s="232"/>
      <c r="D299" s="232"/>
      <c r="E299" s="236"/>
      <c r="F299" s="241"/>
      <c r="G299" s="242" t="s">
        <v>489</v>
      </c>
      <c r="H299" s="283">
        <f t="shared" si="78"/>
        <v>846472</v>
      </c>
      <c r="I299" s="283">
        <f t="shared" si="78"/>
        <v>685960.9</v>
      </c>
      <c r="J299" s="283">
        <f t="shared" si="78"/>
        <v>728280.31864499999</v>
      </c>
      <c r="K299" s="283">
        <f t="shared" si="78"/>
        <v>1035365.05116</v>
      </c>
      <c r="L299" s="283">
        <f t="shared" si="78"/>
        <v>713684.23562499951</v>
      </c>
      <c r="M299" s="247"/>
    </row>
    <row r="300" spans="2:13" ht="24" customHeight="1">
      <c r="B300" s="287"/>
      <c r="C300" s="287"/>
      <c r="D300" s="287"/>
      <c r="E300" s="289"/>
      <c r="F300" s="290"/>
      <c r="G300" s="238" t="s">
        <v>490</v>
      </c>
      <c r="H300" s="283">
        <v>846472</v>
      </c>
      <c r="I300" s="283">
        <v>685960.9</v>
      </c>
      <c r="J300" s="283">
        <v>728280.31864499999</v>
      </c>
      <c r="K300" s="283">
        <v>1035365.05116</v>
      </c>
      <c r="L300" s="283">
        <v>713684.23562499951</v>
      </c>
      <c r="M300" s="247"/>
    </row>
    <row r="301" spans="2:13" s="288" customFormat="1" ht="45" customHeight="1">
      <c r="B301" s="314" t="s">
        <v>450</v>
      </c>
      <c r="C301" s="310" t="s">
        <v>515</v>
      </c>
      <c r="D301" s="310" t="s">
        <v>452</v>
      </c>
      <c r="E301" s="312" t="str">
        <f>'[1]Tntesagitakan (2)'!A138</f>
        <v xml:space="preserve"> 1155</v>
      </c>
      <c r="F301" s="312"/>
      <c r="G301" s="313" t="s">
        <v>517</v>
      </c>
      <c r="H301" s="306">
        <f>H303+H311+H319+H328+H337+H346+H355+H364+H373+H381+H390+H399+H408+H417</f>
        <v>1639268.42</v>
      </c>
      <c r="I301" s="306">
        <f t="shared" ref="I301:L301" si="79">I303+I311+I319+I328+I337+I346+I355+I364+I373+I381+I390+I399+I408+I417</f>
        <v>1112077.7</v>
      </c>
      <c r="J301" s="306">
        <f t="shared" si="79"/>
        <v>1116493.3339999998</v>
      </c>
      <c r="K301" s="306">
        <f t="shared" si="79"/>
        <v>1083323.6340000001</v>
      </c>
      <c r="L301" s="306">
        <f t="shared" si="79"/>
        <v>1065523.6340000001</v>
      </c>
    </row>
    <row r="302" spans="2:13">
      <c r="B302" s="226"/>
      <c r="C302" s="226"/>
      <c r="D302" s="226"/>
      <c r="E302" s="226"/>
      <c r="F302" s="227"/>
      <c r="G302" s="228" t="s">
        <v>497</v>
      </c>
      <c r="H302" s="229"/>
      <c r="I302" s="229"/>
      <c r="J302" s="230"/>
      <c r="K302" s="231"/>
      <c r="L302" s="231"/>
    </row>
    <row r="303" spans="2:13" s="247" customFormat="1" ht="57">
      <c r="B303" s="248"/>
      <c r="C303" s="248"/>
      <c r="D303" s="248"/>
      <c r="E303" s="248"/>
      <c r="F303" s="245">
        <v>11001</v>
      </c>
      <c r="G303" s="234" t="s">
        <v>518</v>
      </c>
      <c r="H303" s="286">
        <f>H305</f>
        <v>94434.75</v>
      </c>
      <c r="I303" s="286">
        <f>I305</f>
        <v>0</v>
      </c>
      <c r="J303" s="286">
        <f>J305</f>
        <v>0</v>
      </c>
      <c r="K303" s="291">
        <f>K305</f>
        <v>0</v>
      </c>
      <c r="L303" s="291">
        <f>L305</f>
        <v>0</v>
      </c>
    </row>
    <row r="304" spans="2:13">
      <c r="B304" s="232"/>
      <c r="C304" s="232"/>
      <c r="D304" s="232"/>
      <c r="E304" s="236"/>
      <c r="F304" s="237"/>
      <c r="G304" s="238" t="s">
        <v>66</v>
      </c>
      <c r="H304" s="229"/>
      <c r="I304" s="229"/>
      <c r="J304" s="239"/>
      <c r="K304" s="240"/>
      <c r="L304" s="240"/>
    </row>
    <row r="305" spans="2:12">
      <c r="B305" s="232"/>
      <c r="C305" s="232"/>
      <c r="D305" s="232"/>
      <c r="E305" s="236"/>
      <c r="F305" s="241"/>
      <c r="G305" s="238" t="s">
        <v>454</v>
      </c>
      <c r="H305" s="283">
        <f>H307</f>
        <v>94434.75</v>
      </c>
      <c r="I305" s="283">
        <f>I307</f>
        <v>0</v>
      </c>
      <c r="J305" s="283">
        <f>J307</f>
        <v>0</v>
      </c>
      <c r="K305" s="292">
        <f>K307</f>
        <v>0</v>
      </c>
      <c r="L305" s="292">
        <f>L307</f>
        <v>0</v>
      </c>
    </row>
    <row r="306" spans="2:12" ht="21.6">
      <c r="B306" s="232"/>
      <c r="C306" s="232"/>
      <c r="D306" s="232"/>
      <c r="E306" s="236"/>
      <c r="F306" s="241"/>
      <c r="G306" s="242" t="s">
        <v>455</v>
      </c>
      <c r="H306" s="283"/>
      <c r="I306" s="283"/>
      <c r="J306" s="283"/>
      <c r="K306" s="292"/>
      <c r="L306" s="292"/>
    </row>
    <row r="307" spans="2:12">
      <c r="B307" s="232"/>
      <c r="C307" s="232"/>
      <c r="D307" s="232"/>
      <c r="E307" s="236"/>
      <c r="F307" s="241"/>
      <c r="G307" s="238" t="s">
        <v>456</v>
      </c>
      <c r="H307" s="283">
        <f t="shared" ref="H307:L309" si="80">H308</f>
        <v>94434.75</v>
      </c>
      <c r="I307" s="283">
        <f t="shared" si="80"/>
        <v>0</v>
      </c>
      <c r="J307" s="283">
        <f t="shared" si="80"/>
        <v>0</v>
      </c>
      <c r="K307" s="292">
        <f t="shared" si="80"/>
        <v>0</v>
      </c>
      <c r="L307" s="292">
        <f t="shared" si="80"/>
        <v>0</v>
      </c>
    </row>
    <row r="308" spans="2:12">
      <c r="B308" s="232"/>
      <c r="C308" s="232"/>
      <c r="D308" s="232"/>
      <c r="E308" s="236"/>
      <c r="F308" s="241"/>
      <c r="G308" s="242" t="s">
        <v>457</v>
      </c>
      <c r="H308" s="283">
        <f t="shared" si="80"/>
        <v>94434.75</v>
      </c>
      <c r="I308" s="283">
        <f t="shared" si="80"/>
        <v>0</v>
      </c>
      <c r="J308" s="283">
        <f t="shared" si="80"/>
        <v>0</v>
      </c>
      <c r="K308" s="292">
        <f t="shared" si="80"/>
        <v>0</v>
      </c>
      <c r="L308" s="292">
        <f t="shared" si="80"/>
        <v>0</v>
      </c>
    </row>
    <row r="309" spans="2:12">
      <c r="B309" s="232"/>
      <c r="C309" s="232"/>
      <c r="D309" s="232"/>
      <c r="E309" s="236"/>
      <c r="F309" s="241"/>
      <c r="G309" s="238" t="s">
        <v>483</v>
      </c>
      <c r="H309" s="283">
        <f t="shared" si="80"/>
        <v>94434.75</v>
      </c>
      <c r="I309" s="283">
        <f t="shared" si="80"/>
        <v>0</v>
      </c>
      <c r="J309" s="283">
        <f t="shared" si="80"/>
        <v>0</v>
      </c>
      <c r="K309" s="292">
        <f t="shared" si="80"/>
        <v>0</v>
      </c>
      <c r="L309" s="292">
        <f t="shared" si="80"/>
        <v>0</v>
      </c>
    </row>
    <row r="310" spans="2:12">
      <c r="B310" s="232"/>
      <c r="C310" s="232"/>
      <c r="D310" s="232"/>
      <c r="E310" s="236"/>
      <c r="F310" s="290"/>
      <c r="G310" s="238" t="s">
        <v>519</v>
      </c>
      <c r="H310" s="283">
        <v>94434.75</v>
      </c>
      <c r="I310" s="283"/>
      <c r="J310" s="283"/>
      <c r="K310" s="292"/>
      <c r="L310" s="292"/>
    </row>
    <row r="311" spans="2:12" s="247" customFormat="1" ht="22.8">
      <c r="B311" s="248"/>
      <c r="C311" s="248"/>
      <c r="D311" s="248"/>
      <c r="E311" s="248"/>
      <c r="F311" s="245" t="str">
        <f>'[1]Tntesagitakan (2)'!B148</f>
        <v xml:space="preserve"> 11003</v>
      </c>
      <c r="G311" s="234" t="s">
        <v>397</v>
      </c>
      <c r="H311" s="286">
        <f>H313</f>
        <v>24723.360000000001</v>
      </c>
      <c r="I311" s="286">
        <f>I313</f>
        <v>15452.2</v>
      </c>
      <c r="J311" s="286">
        <f>J313</f>
        <v>15452.2</v>
      </c>
      <c r="K311" s="291">
        <f>K313</f>
        <v>15452.2</v>
      </c>
      <c r="L311" s="291">
        <f>L313</f>
        <v>15452.2</v>
      </c>
    </row>
    <row r="312" spans="2:12">
      <c r="B312" s="232"/>
      <c r="C312" s="232"/>
      <c r="D312" s="232"/>
      <c r="E312" s="236"/>
      <c r="F312" s="237"/>
      <c r="G312" s="238" t="s">
        <v>66</v>
      </c>
      <c r="H312" s="229"/>
      <c r="I312" s="229"/>
      <c r="J312" s="239"/>
      <c r="K312" s="240"/>
      <c r="L312" s="240"/>
    </row>
    <row r="313" spans="2:12">
      <c r="B313" s="232"/>
      <c r="C313" s="232"/>
      <c r="D313" s="232"/>
      <c r="E313" s="236"/>
      <c r="F313" s="241"/>
      <c r="G313" s="238" t="s">
        <v>454</v>
      </c>
      <c r="H313" s="283">
        <f>H315</f>
        <v>24723.360000000001</v>
      </c>
      <c r="I313" s="283">
        <f>I315</f>
        <v>15452.2</v>
      </c>
      <c r="J313" s="283">
        <f>J315</f>
        <v>15452.2</v>
      </c>
      <c r="K313" s="292">
        <f>K315</f>
        <v>15452.2</v>
      </c>
      <c r="L313" s="292">
        <f>L315</f>
        <v>15452.2</v>
      </c>
    </row>
    <row r="314" spans="2:12" ht="21.6">
      <c r="B314" s="232"/>
      <c r="C314" s="232"/>
      <c r="D314" s="232"/>
      <c r="E314" s="236"/>
      <c r="F314" s="241"/>
      <c r="G314" s="242" t="s">
        <v>455</v>
      </c>
      <c r="H314" s="283"/>
      <c r="I314" s="283"/>
      <c r="J314" s="283"/>
      <c r="K314" s="292"/>
      <c r="L314" s="292"/>
    </row>
    <row r="315" spans="2:12">
      <c r="B315" s="232"/>
      <c r="C315" s="232"/>
      <c r="D315" s="232"/>
      <c r="E315" s="236"/>
      <c r="F315" s="241"/>
      <c r="G315" s="238" t="s">
        <v>456</v>
      </c>
      <c r="H315" s="283">
        <f t="shared" ref="H315:L317" si="81">H316</f>
        <v>24723.360000000001</v>
      </c>
      <c r="I315" s="283">
        <f t="shared" si="81"/>
        <v>15452.2</v>
      </c>
      <c r="J315" s="283">
        <f t="shared" si="81"/>
        <v>15452.2</v>
      </c>
      <c r="K315" s="292">
        <f t="shared" si="81"/>
        <v>15452.2</v>
      </c>
      <c r="L315" s="292">
        <f t="shared" si="81"/>
        <v>15452.2</v>
      </c>
    </row>
    <row r="316" spans="2:12">
      <c r="B316" s="232"/>
      <c r="C316" s="232"/>
      <c r="D316" s="232"/>
      <c r="E316" s="236"/>
      <c r="F316" s="241"/>
      <c r="G316" s="242" t="s">
        <v>457</v>
      </c>
      <c r="H316" s="283">
        <f t="shared" si="81"/>
        <v>24723.360000000001</v>
      </c>
      <c r="I316" s="283">
        <f t="shared" si="81"/>
        <v>15452.2</v>
      </c>
      <c r="J316" s="283">
        <f t="shared" si="81"/>
        <v>15452.2</v>
      </c>
      <c r="K316" s="292">
        <f t="shared" si="81"/>
        <v>15452.2</v>
      </c>
      <c r="L316" s="292">
        <f t="shared" si="81"/>
        <v>15452.2</v>
      </c>
    </row>
    <row r="317" spans="2:12">
      <c r="B317" s="232"/>
      <c r="C317" s="232"/>
      <c r="D317" s="232"/>
      <c r="E317" s="236"/>
      <c r="F317" s="241"/>
      <c r="G317" s="238" t="s">
        <v>483</v>
      </c>
      <c r="H317" s="283">
        <f t="shared" si="81"/>
        <v>24723.360000000001</v>
      </c>
      <c r="I317" s="283">
        <f t="shared" si="81"/>
        <v>15452.2</v>
      </c>
      <c r="J317" s="283">
        <f t="shared" si="81"/>
        <v>15452.2</v>
      </c>
      <c r="K317" s="292">
        <f t="shared" si="81"/>
        <v>15452.2</v>
      </c>
      <c r="L317" s="292">
        <f t="shared" si="81"/>
        <v>15452.2</v>
      </c>
    </row>
    <row r="318" spans="2:12">
      <c r="B318" s="232"/>
      <c r="C318" s="232"/>
      <c r="D318" s="232"/>
      <c r="E318" s="236"/>
      <c r="F318" s="290"/>
      <c r="G318" s="238" t="s">
        <v>484</v>
      </c>
      <c r="H318" s="283">
        <v>24723.360000000001</v>
      </c>
      <c r="I318" s="283">
        <v>15452.2</v>
      </c>
      <c r="J318" s="283">
        <v>15452.2</v>
      </c>
      <c r="K318" s="283">
        <v>15452.2</v>
      </c>
      <c r="L318" s="283">
        <v>15452.2</v>
      </c>
    </row>
    <row r="319" spans="2:12" s="247" customFormat="1">
      <c r="B319" s="248"/>
      <c r="C319" s="248"/>
      <c r="D319" s="248"/>
      <c r="E319" s="248"/>
      <c r="F319" s="245" t="str">
        <f>'[1]Tntesagitakan (2)'!B156</f>
        <v xml:space="preserve"> 11004</v>
      </c>
      <c r="G319" s="234" t="s">
        <v>398</v>
      </c>
      <c r="H319" s="286">
        <f>H321</f>
        <v>148579.79999999999</v>
      </c>
      <c r="I319" s="286">
        <f>I321</f>
        <v>165088.70000000001</v>
      </c>
      <c r="J319" s="286">
        <f>J321</f>
        <v>127103.7</v>
      </c>
      <c r="K319" s="286">
        <f>K321</f>
        <v>127103.7</v>
      </c>
      <c r="L319" s="286">
        <f>L321</f>
        <v>127103.7</v>
      </c>
    </row>
    <row r="320" spans="2:12">
      <c r="B320" s="232"/>
      <c r="C320" s="232"/>
      <c r="D320" s="232"/>
      <c r="E320" s="236"/>
      <c r="F320" s="237"/>
      <c r="G320" s="238" t="s">
        <v>66</v>
      </c>
      <c r="H320" s="229"/>
      <c r="I320" s="229"/>
      <c r="J320" s="239"/>
      <c r="K320" s="239"/>
      <c r="L320" s="239"/>
    </row>
    <row r="321" spans="2:12">
      <c r="B321" s="232"/>
      <c r="C321" s="232"/>
      <c r="D321" s="232"/>
      <c r="E321" s="236"/>
      <c r="F321" s="241"/>
      <c r="G321" s="242" t="s">
        <v>454</v>
      </c>
      <c r="H321" s="283">
        <f>H323</f>
        <v>148579.79999999999</v>
      </c>
      <c r="I321" s="283">
        <f>I323</f>
        <v>165088.70000000001</v>
      </c>
      <c r="J321" s="283">
        <f>J323</f>
        <v>127103.7</v>
      </c>
      <c r="K321" s="283">
        <f>K323</f>
        <v>127103.7</v>
      </c>
      <c r="L321" s="283">
        <f>L323</f>
        <v>127103.7</v>
      </c>
    </row>
    <row r="322" spans="2:12" ht="21.6">
      <c r="B322" s="232"/>
      <c r="C322" s="232"/>
      <c r="D322" s="232"/>
      <c r="E322" s="236"/>
      <c r="F322" s="241"/>
      <c r="G322" s="238" t="s">
        <v>455</v>
      </c>
      <c r="H322" s="283"/>
      <c r="I322" s="283"/>
      <c r="J322" s="283"/>
      <c r="K322" s="283"/>
      <c r="L322" s="283"/>
    </row>
    <row r="323" spans="2:12">
      <c r="B323" s="232"/>
      <c r="C323" s="232"/>
      <c r="D323" s="232"/>
      <c r="E323" s="236"/>
      <c r="F323" s="241"/>
      <c r="G323" s="238" t="s">
        <v>456</v>
      </c>
      <c r="H323" s="283">
        <f t="shared" ref="H323:L325" si="82">H324</f>
        <v>148579.79999999999</v>
      </c>
      <c r="I323" s="283">
        <f t="shared" si="82"/>
        <v>165088.70000000001</v>
      </c>
      <c r="J323" s="283">
        <f t="shared" si="82"/>
        <v>127103.7</v>
      </c>
      <c r="K323" s="283">
        <f t="shared" si="82"/>
        <v>127103.7</v>
      </c>
      <c r="L323" s="283">
        <f t="shared" si="82"/>
        <v>127103.7</v>
      </c>
    </row>
    <row r="324" spans="2:12">
      <c r="B324" s="232"/>
      <c r="C324" s="232"/>
      <c r="D324" s="232"/>
      <c r="E324" s="236"/>
      <c r="F324" s="241"/>
      <c r="G324" s="242" t="s">
        <v>457</v>
      </c>
      <c r="H324" s="283">
        <f t="shared" si="82"/>
        <v>148579.79999999999</v>
      </c>
      <c r="I324" s="283">
        <f t="shared" si="82"/>
        <v>165088.70000000001</v>
      </c>
      <c r="J324" s="283">
        <f t="shared" si="82"/>
        <v>127103.7</v>
      </c>
      <c r="K324" s="283">
        <f t="shared" si="82"/>
        <v>127103.7</v>
      </c>
      <c r="L324" s="283">
        <f t="shared" si="82"/>
        <v>127103.7</v>
      </c>
    </row>
    <row r="325" spans="2:12">
      <c r="B325" s="232"/>
      <c r="C325" s="232"/>
      <c r="D325" s="232"/>
      <c r="E325" s="236"/>
      <c r="F325" s="241"/>
      <c r="G325" s="238" t="s">
        <v>458</v>
      </c>
      <c r="H325" s="283">
        <f t="shared" si="82"/>
        <v>148579.79999999999</v>
      </c>
      <c r="I325" s="283">
        <f t="shared" si="82"/>
        <v>165088.70000000001</v>
      </c>
      <c r="J325" s="283">
        <f t="shared" si="82"/>
        <v>127103.7</v>
      </c>
      <c r="K325" s="283">
        <f t="shared" si="82"/>
        <v>127103.7</v>
      </c>
      <c r="L325" s="283">
        <f t="shared" si="82"/>
        <v>127103.7</v>
      </c>
    </row>
    <row r="326" spans="2:12" ht="21.6">
      <c r="B326" s="232"/>
      <c r="C326" s="232"/>
      <c r="D326" s="232"/>
      <c r="E326" s="236"/>
      <c r="F326" s="241"/>
      <c r="G326" s="242" t="s">
        <v>459</v>
      </c>
      <c r="H326" s="283">
        <f>H327</f>
        <v>148579.79999999999</v>
      </c>
      <c r="I326" s="283">
        <f>I327</f>
        <v>165088.70000000001</v>
      </c>
      <c r="J326" s="283">
        <f>J327</f>
        <v>127103.7</v>
      </c>
      <c r="K326" s="283">
        <f>K327</f>
        <v>127103.7</v>
      </c>
      <c r="L326" s="283">
        <f>L327</f>
        <v>127103.7</v>
      </c>
    </row>
    <row r="327" spans="2:12" ht="21.6">
      <c r="B327" s="232"/>
      <c r="C327" s="232"/>
      <c r="D327" s="232"/>
      <c r="E327" s="236"/>
      <c r="F327" s="290"/>
      <c r="G327" s="238" t="s">
        <v>460</v>
      </c>
      <c r="H327" s="283">
        <v>148579.79999999999</v>
      </c>
      <c r="I327" s="283">
        <v>165088.70000000001</v>
      </c>
      <c r="J327" s="283">
        <v>127103.7</v>
      </c>
      <c r="K327" s="283">
        <v>127103.7</v>
      </c>
      <c r="L327" s="283">
        <v>127103.7</v>
      </c>
    </row>
    <row r="328" spans="2:12" s="247" customFormat="1">
      <c r="B328" s="248"/>
      <c r="C328" s="248"/>
      <c r="D328" s="248"/>
      <c r="E328" s="248"/>
      <c r="F328" s="245" t="str">
        <f>'[1]Tntesagitakan (2)'!B165</f>
        <v xml:space="preserve"> 11005</v>
      </c>
      <c r="G328" s="234" t="s">
        <v>399</v>
      </c>
      <c r="H328" s="286">
        <f>H330</f>
        <v>53830.9</v>
      </c>
      <c r="I328" s="286">
        <f>I330</f>
        <v>61701</v>
      </c>
      <c r="J328" s="286">
        <f>J330</f>
        <v>61701</v>
      </c>
      <c r="K328" s="286">
        <f>K330</f>
        <v>61701</v>
      </c>
      <c r="L328" s="286">
        <f>L330</f>
        <v>61701</v>
      </c>
    </row>
    <row r="329" spans="2:12">
      <c r="B329" s="232"/>
      <c r="C329" s="232"/>
      <c r="D329" s="232"/>
      <c r="E329" s="236"/>
      <c r="F329" s="237"/>
      <c r="G329" s="242" t="s">
        <v>66</v>
      </c>
      <c r="H329" s="229"/>
      <c r="I329" s="229"/>
      <c r="J329" s="239"/>
      <c r="K329" s="239"/>
      <c r="L329" s="239"/>
    </row>
    <row r="330" spans="2:12">
      <c r="B330" s="232"/>
      <c r="C330" s="232"/>
      <c r="D330" s="232"/>
      <c r="E330" s="236"/>
      <c r="F330" s="241"/>
      <c r="G330" s="238" t="s">
        <v>454</v>
      </c>
      <c r="H330" s="283">
        <f>H332</f>
        <v>53830.9</v>
      </c>
      <c r="I330" s="283">
        <f>I332</f>
        <v>61701</v>
      </c>
      <c r="J330" s="283">
        <f>J332</f>
        <v>61701</v>
      </c>
      <c r="K330" s="283">
        <f>K332</f>
        <v>61701</v>
      </c>
      <c r="L330" s="283">
        <f>L332</f>
        <v>61701</v>
      </c>
    </row>
    <row r="331" spans="2:12" ht="21.6">
      <c r="B331" s="232"/>
      <c r="C331" s="232"/>
      <c r="D331" s="232"/>
      <c r="E331" s="236"/>
      <c r="F331" s="241"/>
      <c r="G331" s="242" t="s">
        <v>455</v>
      </c>
      <c r="H331" s="286"/>
      <c r="I331" s="286"/>
      <c r="J331" s="286"/>
      <c r="K331" s="286"/>
      <c r="L331" s="286"/>
    </row>
    <row r="332" spans="2:12">
      <c r="B332" s="232"/>
      <c r="C332" s="232"/>
      <c r="D332" s="232"/>
      <c r="E332" s="236"/>
      <c r="F332" s="241"/>
      <c r="G332" s="238" t="s">
        <v>456</v>
      </c>
      <c r="H332" s="229">
        <f t="shared" ref="H332:L335" si="83">H333</f>
        <v>53830.9</v>
      </c>
      <c r="I332" s="229">
        <f t="shared" si="83"/>
        <v>61701</v>
      </c>
      <c r="J332" s="239">
        <f t="shared" si="83"/>
        <v>61701</v>
      </c>
      <c r="K332" s="239">
        <f t="shared" si="83"/>
        <v>61701</v>
      </c>
      <c r="L332" s="239">
        <f t="shared" si="83"/>
        <v>61701</v>
      </c>
    </row>
    <row r="333" spans="2:12">
      <c r="B333" s="232"/>
      <c r="C333" s="232"/>
      <c r="D333" s="232"/>
      <c r="E333" s="236"/>
      <c r="F333" s="241"/>
      <c r="G333" s="238" t="s">
        <v>457</v>
      </c>
      <c r="H333" s="283">
        <f t="shared" si="83"/>
        <v>53830.9</v>
      </c>
      <c r="I333" s="283">
        <f t="shared" si="83"/>
        <v>61701</v>
      </c>
      <c r="J333" s="283">
        <f t="shared" si="83"/>
        <v>61701</v>
      </c>
      <c r="K333" s="283">
        <f t="shared" si="83"/>
        <v>61701</v>
      </c>
      <c r="L333" s="283">
        <f t="shared" si="83"/>
        <v>61701</v>
      </c>
    </row>
    <row r="334" spans="2:12">
      <c r="B334" s="232"/>
      <c r="C334" s="232"/>
      <c r="D334" s="232"/>
      <c r="E334" s="236"/>
      <c r="F334" s="241"/>
      <c r="G334" s="242" t="s">
        <v>458</v>
      </c>
      <c r="H334" s="283">
        <f t="shared" si="83"/>
        <v>53830.9</v>
      </c>
      <c r="I334" s="283">
        <f t="shared" si="83"/>
        <v>61701</v>
      </c>
      <c r="J334" s="283">
        <f t="shared" si="83"/>
        <v>61701</v>
      </c>
      <c r="K334" s="283">
        <f t="shared" si="83"/>
        <v>61701</v>
      </c>
      <c r="L334" s="283">
        <f t="shared" si="83"/>
        <v>61701</v>
      </c>
    </row>
    <row r="335" spans="2:12" ht="21.6">
      <c r="B335" s="232"/>
      <c r="C335" s="232"/>
      <c r="D335" s="232"/>
      <c r="E335" s="236"/>
      <c r="F335" s="241"/>
      <c r="G335" s="238" t="s">
        <v>459</v>
      </c>
      <c r="H335" s="229">
        <f>H336</f>
        <v>53830.9</v>
      </c>
      <c r="I335" s="229">
        <f>I336</f>
        <v>61701</v>
      </c>
      <c r="J335" s="239">
        <f t="shared" si="83"/>
        <v>61701</v>
      </c>
      <c r="K335" s="239">
        <f t="shared" si="83"/>
        <v>61701</v>
      </c>
      <c r="L335" s="239">
        <f t="shared" si="83"/>
        <v>61701</v>
      </c>
    </row>
    <row r="336" spans="2:12" ht="21.6">
      <c r="B336" s="232"/>
      <c r="C336" s="232"/>
      <c r="D336" s="232"/>
      <c r="E336" s="236"/>
      <c r="F336" s="290"/>
      <c r="G336" s="238" t="s">
        <v>460</v>
      </c>
      <c r="H336" s="283">
        <v>53830.9</v>
      </c>
      <c r="I336" s="283">
        <v>61701</v>
      </c>
      <c r="J336" s="283">
        <v>61701</v>
      </c>
      <c r="K336" s="283">
        <v>61701</v>
      </c>
      <c r="L336" s="283">
        <v>61701</v>
      </c>
    </row>
    <row r="337" spans="2:12" s="247" customFormat="1" ht="22.8">
      <c r="B337" s="248"/>
      <c r="C337" s="248"/>
      <c r="D337" s="248"/>
      <c r="E337" s="248"/>
      <c r="F337" s="245" t="str">
        <f>'[1]Tntesagitakan (2)'!B174</f>
        <v xml:space="preserve"> 11006</v>
      </c>
      <c r="G337" s="234" t="s">
        <v>401</v>
      </c>
      <c r="H337" s="286">
        <f>H339</f>
        <v>115799.7</v>
      </c>
      <c r="I337" s="286">
        <f>I339</f>
        <v>115799.7</v>
      </c>
      <c r="J337" s="740">
        <f>J339</f>
        <v>153662.93400000001</v>
      </c>
      <c r="K337" s="286">
        <f>K339</f>
        <v>153662.93400000001</v>
      </c>
      <c r="L337" s="286">
        <f>L339</f>
        <v>153662.93400000001</v>
      </c>
    </row>
    <row r="338" spans="2:12">
      <c r="B338" s="232"/>
      <c r="C338" s="232"/>
      <c r="D338" s="232"/>
      <c r="E338" s="236"/>
      <c r="F338" s="237"/>
      <c r="G338" s="238" t="s">
        <v>66</v>
      </c>
      <c r="H338" s="229"/>
      <c r="I338" s="229"/>
      <c r="J338" s="239"/>
      <c r="K338" s="239"/>
      <c r="L338" s="239"/>
    </row>
    <row r="339" spans="2:12">
      <c r="B339" s="232"/>
      <c r="C339" s="232"/>
      <c r="D339" s="232"/>
      <c r="E339" s="236"/>
      <c r="F339" s="241"/>
      <c r="G339" s="242" t="s">
        <v>454</v>
      </c>
      <c r="H339" s="283">
        <f>H341</f>
        <v>115799.7</v>
      </c>
      <c r="I339" s="283">
        <f>I341</f>
        <v>115799.7</v>
      </c>
      <c r="J339" s="283">
        <f>J341</f>
        <v>153662.93400000001</v>
      </c>
      <c r="K339" s="283">
        <f>K341</f>
        <v>153662.93400000001</v>
      </c>
      <c r="L339" s="283">
        <f>L341</f>
        <v>153662.93400000001</v>
      </c>
    </row>
    <row r="340" spans="2:12" ht="21.6">
      <c r="B340" s="232"/>
      <c r="C340" s="232"/>
      <c r="D340" s="232"/>
      <c r="E340" s="236"/>
      <c r="F340" s="241"/>
      <c r="G340" s="238" t="s">
        <v>455</v>
      </c>
      <c r="H340" s="286"/>
      <c r="I340" s="286"/>
      <c r="J340" s="286"/>
      <c r="K340" s="286"/>
      <c r="L340" s="286"/>
    </row>
    <row r="341" spans="2:12">
      <c r="B341" s="232"/>
      <c r="C341" s="232"/>
      <c r="D341" s="232"/>
      <c r="E341" s="236"/>
      <c r="F341" s="241"/>
      <c r="G341" s="242" t="s">
        <v>456</v>
      </c>
      <c r="H341" s="229">
        <f t="shared" ref="H341:L344" si="84">H342</f>
        <v>115799.7</v>
      </c>
      <c r="I341" s="229">
        <f t="shared" si="84"/>
        <v>115799.7</v>
      </c>
      <c r="J341" s="239">
        <f t="shared" si="84"/>
        <v>153662.93400000001</v>
      </c>
      <c r="K341" s="239">
        <f t="shared" si="84"/>
        <v>153662.93400000001</v>
      </c>
      <c r="L341" s="239">
        <f t="shared" si="84"/>
        <v>153662.93400000001</v>
      </c>
    </row>
    <row r="342" spans="2:12">
      <c r="B342" s="232"/>
      <c r="C342" s="232"/>
      <c r="D342" s="232"/>
      <c r="E342" s="236"/>
      <c r="F342" s="241"/>
      <c r="G342" s="238" t="s">
        <v>457</v>
      </c>
      <c r="H342" s="283">
        <f t="shared" si="84"/>
        <v>115799.7</v>
      </c>
      <c r="I342" s="283">
        <f t="shared" si="84"/>
        <v>115799.7</v>
      </c>
      <c r="J342" s="283">
        <f t="shared" si="84"/>
        <v>153662.93400000001</v>
      </c>
      <c r="K342" s="283">
        <f t="shared" si="84"/>
        <v>153662.93400000001</v>
      </c>
      <c r="L342" s="283">
        <f t="shared" si="84"/>
        <v>153662.93400000001</v>
      </c>
    </row>
    <row r="343" spans="2:12">
      <c r="B343" s="232"/>
      <c r="C343" s="232"/>
      <c r="D343" s="232"/>
      <c r="E343" s="236"/>
      <c r="F343" s="241"/>
      <c r="G343" s="238" t="s">
        <v>458</v>
      </c>
      <c r="H343" s="283">
        <f t="shared" si="84"/>
        <v>115799.7</v>
      </c>
      <c r="I343" s="283">
        <f t="shared" si="84"/>
        <v>115799.7</v>
      </c>
      <c r="J343" s="283">
        <f t="shared" si="84"/>
        <v>153662.93400000001</v>
      </c>
      <c r="K343" s="283">
        <f t="shared" si="84"/>
        <v>153662.93400000001</v>
      </c>
      <c r="L343" s="283">
        <f t="shared" si="84"/>
        <v>153662.93400000001</v>
      </c>
    </row>
    <row r="344" spans="2:12" ht="21.6">
      <c r="B344" s="232"/>
      <c r="C344" s="232"/>
      <c r="D344" s="232"/>
      <c r="E344" s="236"/>
      <c r="F344" s="241"/>
      <c r="G344" s="242" t="s">
        <v>459</v>
      </c>
      <c r="H344" s="229">
        <f t="shared" si="84"/>
        <v>115799.7</v>
      </c>
      <c r="I344" s="229">
        <f t="shared" si="84"/>
        <v>115799.7</v>
      </c>
      <c r="J344" s="239">
        <f t="shared" si="84"/>
        <v>153662.93400000001</v>
      </c>
      <c r="K344" s="239">
        <f t="shared" si="84"/>
        <v>153662.93400000001</v>
      </c>
      <c r="L344" s="239">
        <f t="shared" si="84"/>
        <v>153662.93400000001</v>
      </c>
    </row>
    <row r="345" spans="2:12" s="59" customFormat="1" ht="21.6">
      <c r="B345" s="293"/>
      <c r="C345" s="293"/>
      <c r="D345" s="293"/>
      <c r="E345" s="294"/>
      <c r="F345" s="290"/>
      <c r="G345" s="238" t="s">
        <v>460</v>
      </c>
      <c r="H345" s="283">
        <v>115799.7</v>
      </c>
      <c r="I345" s="283">
        <v>115799.7</v>
      </c>
      <c r="J345" s="283">
        <v>153662.93400000001</v>
      </c>
      <c r="K345" s="283">
        <v>153662.93400000001</v>
      </c>
      <c r="L345" s="283">
        <v>153662.93400000001</v>
      </c>
    </row>
    <row r="346" spans="2:12" s="247" customFormat="1">
      <c r="B346" s="248"/>
      <c r="C346" s="248"/>
      <c r="D346" s="248"/>
      <c r="E346" s="248"/>
      <c r="F346" s="245" t="str">
        <f>'[1]Tntesagitakan (2)'!B183</f>
        <v xml:space="preserve"> 11007</v>
      </c>
      <c r="G346" s="234" t="s">
        <v>403</v>
      </c>
      <c r="H346" s="286">
        <f>H348</f>
        <v>111787.9</v>
      </c>
      <c r="I346" s="286">
        <f>I348</f>
        <v>111787.9</v>
      </c>
      <c r="J346" s="286">
        <f>J348</f>
        <v>111787.9</v>
      </c>
      <c r="K346" s="286">
        <f>K348</f>
        <v>111787.9</v>
      </c>
      <c r="L346" s="286">
        <f>L348</f>
        <v>111787.9</v>
      </c>
    </row>
    <row r="347" spans="2:12">
      <c r="B347" s="232"/>
      <c r="C347" s="232"/>
      <c r="D347" s="232"/>
      <c r="E347" s="236"/>
      <c r="F347" s="237"/>
      <c r="G347" s="238" t="s">
        <v>66</v>
      </c>
      <c r="H347" s="229"/>
      <c r="I347" s="229"/>
      <c r="J347" s="239"/>
      <c r="K347" s="239"/>
      <c r="L347" s="239"/>
    </row>
    <row r="348" spans="2:12">
      <c r="B348" s="232"/>
      <c r="C348" s="232"/>
      <c r="D348" s="232"/>
      <c r="E348" s="236"/>
      <c r="F348" s="241"/>
      <c r="G348" s="238" t="s">
        <v>454</v>
      </c>
      <c r="H348" s="283">
        <f>H350</f>
        <v>111787.9</v>
      </c>
      <c r="I348" s="283">
        <f>I350</f>
        <v>111787.9</v>
      </c>
      <c r="J348" s="283">
        <f>J350</f>
        <v>111787.9</v>
      </c>
      <c r="K348" s="283">
        <f>K350</f>
        <v>111787.9</v>
      </c>
      <c r="L348" s="283">
        <f>L350</f>
        <v>111787.9</v>
      </c>
    </row>
    <row r="349" spans="2:12" ht="21.6">
      <c r="B349" s="232"/>
      <c r="C349" s="232"/>
      <c r="D349" s="232"/>
      <c r="E349" s="236"/>
      <c r="F349" s="241"/>
      <c r="G349" s="242" t="s">
        <v>455</v>
      </c>
      <c r="H349" s="286"/>
      <c r="I349" s="286"/>
      <c r="J349" s="286"/>
      <c r="K349" s="286"/>
      <c r="L349" s="286"/>
    </row>
    <row r="350" spans="2:12">
      <c r="B350" s="232"/>
      <c r="C350" s="232"/>
      <c r="D350" s="232"/>
      <c r="E350" s="236"/>
      <c r="F350" s="241"/>
      <c r="G350" s="238" t="s">
        <v>456</v>
      </c>
      <c r="H350" s="229">
        <f t="shared" ref="H350:L353" si="85">H351</f>
        <v>111787.9</v>
      </c>
      <c r="I350" s="229">
        <f t="shared" si="85"/>
        <v>111787.9</v>
      </c>
      <c r="J350" s="239">
        <f t="shared" si="85"/>
        <v>111787.9</v>
      </c>
      <c r="K350" s="239">
        <f t="shared" si="85"/>
        <v>111787.9</v>
      </c>
      <c r="L350" s="239">
        <f t="shared" si="85"/>
        <v>111787.9</v>
      </c>
    </row>
    <row r="351" spans="2:12">
      <c r="B351" s="232"/>
      <c r="C351" s="232"/>
      <c r="D351" s="232"/>
      <c r="E351" s="236"/>
      <c r="F351" s="241"/>
      <c r="G351" s="242" t="s">
        <v>457</v>
      </c>
      <c r="H351" s="283">
        <f t="shared" si="85"/>
        <v>111787.9</v>
      </c>
      <c r="I351" s="283">
        <f t="shared" si="85"/>
        <v>111787.9</v>
      </c>
      <c r="J351" s="283">
        <f t="shared" si="85"/>
        <v>111787.9</v>
      </c>
      <c r="K351" s="283">
        <f t="shared" si="85"/>
        <v>111787.9</v>
      </c>
      <c r="L351" s="283">
        <f t="shared" si="85"/>
        <v>111787.9</v>
      </c>
    </row>
    <row r="352" spans="2:12">
      <c r="B352" s="232"/>
      <c r="C352" s="232"/>
      <c r="D352" s="232"/>
      <c r="E352" s="236"/>
      <c r="F352" s="241"/>
      <c r="G352" s="238" t="s">
        <v>458</v>
      </c>
      <c r="H352" s="283">
        <f t="shared" si="85"/>
        <v>111787.9</v>
      </c>
      <c r="I352" s="283">
        <f t="shared" si="85"/>
        <v>111787.9</v>
      </c>
      <c r="J352" s="283">
        <f t="shared" si="85"/>
        <v>111787.9</v>
      </c>
      <c r="K352" s="283">
        <f t="shared" si="85"/>
        <v>111787.9</v>
      </c>
      <c r="L352" s="283">
        <f t="shared" si="85"/>
        <v>111787.9</v>
      </c>
    </row>
    <row r="353" spans="2:12" ht="21.6">
      <c r="B353" s="232"/>
      <c r="C353" s="232"/>
      <c r="D353" s="232"/>
      <c r="E353" s="236"/>
      <c r="F353" s="241"/>
      <c r="G353" s="238" t="s">
        <v>459</v>
      </c>
      <c r="H353" s="229">
        <f t="shared" si="85"/>
        <v>111787.9</v>
      </c>
      <c r="I353" s="229">
        <f t="shared" si="85"/>
        <v>111787.9</v>
      </c>
      <c r="J353" s="239">
        <f t="shared" si="85"/>
        <v>111787.9</v>
      </c>
      <c r="K353" s="239">
        <f t="shared" si="85"/>
        <v>111787.9</v>
      </c>
      <c r="L353" s="239">
        <f t="shared" si="85"/>
        <v>111787.9</v>
      </c>
    </row>
    <row r="354" spans="2:12" ht="21.6">
      <c r="B354" s="232"/>
      <c r="C354" s="232"/>
      <c r="D354" s="232"/>
      <c r="E354" s="236"/>
      <c r="F354" s="244"/>
      <c r="G354" s="238" t="s">
        <v>460</v>
      </c>
      <c r="H354" s="283">
        <v>111787.9</v>
      </c>
      <c r="I354" s="283">
        <v>111787.9</v>
      </c>
      <c r="J354" s="283">
        <v>111787.9</v>
      </c>
      <c r="K354" s="283">
        <v>111787.9</v>
      </c>
      <c r="L354" s="283">
        <v>111787.9</v>
      </c>
    </row>
    <row r="355" spans="2:12" s="247" customFormat="1">
      <c r="B355" s="248"/>
      <c r="C355" s="248"/>
      <c r="D355" s="248"/>
      <c r="E355" s="248"/>
      <c r="F355" s="245" t="s">
        <v>520</v>
      </c>
      <c r="G355" s="234" t="s">
        <v>405</v>
      </c>
      <c r="H355" s="286">
        <f>H357</f>
        <v>47332</v>
      </c>
      <c r="I355" s="286">
        <f>I357</f>
        <v>47812.7</v>
      </c>
      <c r="J355" s="286">
        <f>J357</f>
        <v>47812.7</v>
      </c>
      <c r="K355" s="286">
        <f>K357</f>
        <v>52594</v>
      </c>
      <c r="L355" s="286">
        <f>L357</f>
        <v>52594</v>
      </c>
    </row>
    <row r="356" spans="2:12">
      <c r="B356" s="232"/>
      <c r="C356" s="232"/>
      <c r="D356" s="232"/>
      <c r="E356" s="236"/>
      <c r="F356" s="237"/>
      <c r="G356" s="242" t="s">
        <v>66</v>
      </c>
      <c r="H356" s="229"/>
      <c r="I356" s="229"/>
      <c r="J356" s="239"/>
      <c r="K356" s="239"/>
      <c r="L356" s="239"/>
    </row>
    <row r="357" spans="2:12">
      <c r="B357" s="232"/>
      <c r="C357" s="232"/>
      <c r="D357" s="232"/>
      <c r="E357" s="236"/>
      <c r="F357" s="241"/>
      <c r="G357" s="238" t="s">
        <v>454</v>
      </c>
      <c r="H357" s="283">
        <f>H359</f>
        <v>47332</v>
      </c>
      <c r="I357" s="283">
        <f>I359</f>
        <v>47812.7</v>
      </c>
      <c r="J357" s="283">
        <f>J359</f>
        <v>47812.7</v>
      </c>
      <c r="K357" s="283">
        <f>K359</f>
        <v>52594</v>
      </c>
      <c r="L357" s="283">
        <f>L359</f>
        <v>52594</v>
      </c>
    </row>
    <row r="358" spans="2:12" ht="21.6">
      <c r="B358" s="232"/>
      <c r="C358" s="232"/>
      <c r="D358" s="232"/>
      <c r="E358" s="236"/>
      <c r="F358" s="241"/>
      <c r="G358" s="238" t="s">
        <v>455</v>
      </c>
      <c r="H358" s="286"/>
      <c r="I358" s="286"/>
      <c r="J358" s="286"/>
      <c r="K358" s="286"/>
      <c r="L358" s="286"/>
    </row>
    <row r="359" spans="2:12">
      <c r="B359" s="232"/>
      <c r="C359" s="232"/>
      <c r="D359" s="232"/>
      <c r="E359" s="236"/>
      <c r="F359" s="241"/>
      <c r="G359" s="242" t="s">
        <v>456</v>
      </c>
      <c r="H359" s="229">
        <f t="shared" ref="H359:L362" si="86">H360</f>
        <v>47332</v>
      </c>
      <c r="I359" s="229">
        <f t="shared" si="86"/>
        <v>47812.7</v>
      </c>
      <c r="J359" s="239">
        <f t="shared" si="86"/>
        <v>47812.7</v>
      </c>
      <c r="K359" s="239">
        <f t="shared" si="86"/>
        <v>52594</v>
      </c>
      <c r="L359" s="239">
        <f t="shared" si="86"/>
        <v>52594</v>
      </c>
    </row>
    <row r="360" spans="2:12">
      <c r="B360" s="232"/>
      <c r="C360" s="232"/>
      <c r="D360" s="232"/>
      <c r="E360" s="236"/>
      <c r="F360" s="241"/>
      <c r="G360" s="238" t="s">
        <v>457</v>
      </c>
      <c r="H360" s="283">
        <f t="shared" si="86"/>
        <v>47332</v>
      </c>
      <c r="I360" s="283">
        <f t="shared" si="86"/>
        <v>47812.7</v>
      </c>
      <c r="J360" s="283">
        <f t="shared" si="86"/>
        <v>47812.7</v>
      </c>
      <c r="K360" s="283">
        <f t="shared" si="86"/>
        <v>52594</v>
      </c>
      <c r="L360" s="283">
        <f t="shared" si="86"/>
        <v>52594</v>
      </c>
    </row>
    <row r="361" spans="2:12">
      <c r="B361" s="232"/>
      <c r="C361" s="232"/>
      <c r="D361" s="232"/>
      <c r="E361" s="236"/>
      <c r="F361" s="241"/>
      <c r="G361" s="242" t="s">
        <v>458</v>
      </c>
      <c r="H361" s="283">
        <f t="shared" si="86"/>
        <v>47332</v>
      </c>
      <c r="I361" s="283">
        <f t="shared" si="86"/>
        <v>47812.7</v>
      </c>
      <c r="J361" s="283">
        <f t="shared" si="86"/>
        <v>47812.7</v>
      </c>
      <c r="K361" s="283">
        <f t="shared" si="86"/>
        <v>52594</v>
      </c>
      <c r="L361" s="283">
        <f t="shared" si="86"/>
        <v>52594</v>
      </c>
    </row>
    <row r="362" spans="2:12" ht="21.6">
      <c r="B362" s="232"/>
      <c r="C362" s="232"/>
      <c r="D362" s="232"/>
      <c r="E362" s="236"/>
      <c r="F362" s="241"/>
      <c r="G362" s="238" t="s">
        <v>459</v>
      </c>
      <c r="H362" s="229">
        <f t="shared" si="86"/>
        <v>47332</v>
      </c>
      <c r="I362" s="229">
        <f t="shared" si="86"/>
        <v>47812.7</v>
      </c>
      <c r="J362" s="239">
        <f t="shared" si="86"/>
        <v>47812.7</v>
      </c>
      <c r="K362" s="239">
        <f t="shared" si="86"/>
        <v>52594</v>
      </c>
      <c r="L362" s="239">
        <f t="shared" si="86"/>
        <v>52594</v>
      </c>
    </row>
    <row r="363" spans="2:12" ht="21.6">
      <c r="B363" s="232"/>
      <c r="C363" s="232"/>
      <c r="D363" s="232"/>
      <c r="E363" s="236"/>
      <c r="F363" s="290"/>
      <c r="G363" s="238" t="s">
        <v>460</v>
      </c>
      <c r="H363" s="283">
        <v>47332</v>
      </c>
      <c r="I363" s="283">
        <v>47812.7</v>
      </c>
      <c r="J363" s="283">
        <v>47812.7</v>
      </c>
      <c r="K363" s="283">
        <v>52594</v>
      </c>
      <c r="L363" s="283">
        <v>52594</v>
      </c>
    </row>
    <row r="364" spans="2:12" s="247" customFormat="1" ht="22.8">
      <c r="B364" s="248"/>
      <c r="C364" s="248"/>
      <c r="D364" s="248"/>
      <c r="E364" s="248"/>
      <c r="F364" s="245" t="str">
        <f>'[1]Tntesagitakan (2)'!B201</f>
        <v xml:space="preserve"> 11010</v>
      </c>
      <c r="G364" s="234" t="s">
        <v>407</v>
      </c>
      <c r="H364" s="286">
        <f>H366</f>
        <v>119476.9</v>
      </c>
      <c r="I364" s="286">
        <f>I366</f>
        <v>122275.8</v>
      </c>
      <c r="J364" s="286">
        <f>J366</f>
        <v>122275.8</v>
      </c>
      <c r="K364" s="286">
        <f>K366</f>
        <v>122275.8</v>
      </c>
      <c r="L364" s="286">
        <f>L366</f>
        <v>122275.8</v>
      </c>
    </row>
    <row r="365" spans="2:12">
      <c r="B365" s="232"/>
      <c r="C365" s="232"/>
      <c r="D365" s="232"/>
      <c r="E365" s="236"/>
      <c r="F365" s="237"/>
      <c r="G365" s="238" t="s">
        <v>66</v>
      </c>
      <c r="H365" s="229"/>
      <c r="I365" s="229"/>
      <c r="J365" s="239"/>
      <c r="K365" s="239"/>
      <c r="L365" s="239"/>
    </row>
    <row r="366" spans="2:12">
      <c r="B366" s="232"/>
      <c r="C366" s="232"/>
      <c r="D366" s="232"/>
      <c r="E366" s="236"/>
      <c r="F366" s="241"/>
      <c r="G366" s="242" t="s">
        <v>454</v>
      </c>
      <c r="H366" s="283">
        <f>H368</f>
        <v>119476.9</v>
      </c>
      <c r="I366" s="283">
        <f>I368</f>
        <v>122275.8</v>
      </c>
      <c r="J366" s="283">
        <f>J368</f>
        <v>122275.8</v>
      </c>
      <c r="K366" s="283">
        <f>K368</f>
        <v>122275.8</v>
      </c>
      <c r="L366" s="283">
        <f>L368</f>
        <v>122275.8</v>
      </c>
    </row>
    <row r="367" spans="2:12" ht="21.6">
      <c r="B367" s="232"/>
      <c r="C367" s="232"/>
      <c r="D367" s="232"/>
      <c r="E367" s="236"/>
      <c r="F367" s="241"/>
      <c r="G367" s="238" t="s">
        <v>455</v>
      </c>
      <c r="H367" s="286"/>
      <c r="I367" s="286"/>
      <c r="J367" s="286"/>
      <c r="K367" s="286"/>
      <c r="L367" s="286"/>
    </row>
    <row r="368" spans="2:12">
      <c r="B368" s="232"/>
      <c r="C368" s="232"/>
      <c r="D368" s="232"/>
      <c r="E368" s="236"/>
      <c r="F368" s="241"/>
      <c r="G368" s="238" t="s">
        <v>456</v>
      </c>
      <c r="H368" s="229">
        <f t="shared" ref="H368:L371" si="87">H369</f>
        <v>119476.9</v>
      </c>
      <c r="I368" s="229">
        <f t="shared" si="87"/>
        <v>122275.8</v>
      </c>
      <c r="J368" s="239">
        <f t="shared" si="87"/>
        <v>122275.8</v>
      </c>
      <c r="K368" s="239">
        <f t="shared" si="87"/>
        <v>122275.8</v>
      </c>
      <c r="L368" s="239">
        <f t="shared" si="87"/>
        <v>122275.8</v>
      </c>
    </row>
    <row r="369" spans="2:12">
      <c r="B369" s="232"/>
      <c r="C369" s="232"/>
      <c r="D369" s="232"/>
      <c r="E369" s="236"/>
      <c r="F369" s="241"/>
      <c r="G369" s="242" t="s">
        <v>457</v>
      </c>
      <c r="H369" s="283">
        <f t="shared" si="87"/>
        <v>119476.9</v>
      </c>
      <c r="I369" s="283">
        <f t="shared" si="87"/>
        <v>122275.8</v>
      </c>
      <c r="J369" s="283">
        <f t="shared" si="87"/>
        <v>122275.8</v>
      </c>
      <c r="K369" s="283">
        <f t="shared" si="87"/>
        <v>122275.8</v>
      </c>
      <c r="L369" s="283">
        <f t="shared" si="87"/>
        <v>122275.8</v>
      </c>
    </row>
    <row r="370" spans="2:12">
      <c r="B370" s="232"/>
      <c r="C370" s="232"/>
      <c r="D370" s="232"/>
      <c r="E370" s="236"/>
      <c r="F370" s="241"/>
      <c r="G370" s="238" t="s">
        <v>458</v>
      </c>
      <c r="H370" s="283">
        <f t="shared" si="87"/>
        <v>119476.9</v>
      </c>
      <c r="I370" s="283">
        <f t="shared" si="87"/>
        <v>122275.8</v>
      </c>
      <c r="J370" s="283">
        <f t="shared" si="87"/>
        <v>122275.8</v>
      </c>
      <c r="K370" s="283">
        <f t="shared" si="87"/>
        <v>122275.8</v>
      </c>
      <c r="L370" s="283">
        <f t="shared" si="87"/>
        <v>122275.8</v>
      </c>
    </row>
    <row r="371" spans="2:12" ht="21.6">
      <c r="B371" s="232"/>
      <c r="C371" s="232"/>
      <c r="D371" s="232"/>
      <c r="E371" s="236"/>
      <c r="F371" s="241"/>
      <c r="G371" s="242" t="s">
        <v>459</v>
      </c>
      <c r="H371" s="229">
        <f t="shared" si="87"/>
        <v>119476.9</v>
      </c>
      <c r="I371" s="229">
        <f t="shared" si="87"/>
        <v>122275.8</v>
      </c>
      <c r="J371" s="239">
        <f t="shared" si="87"/>
        <v>122275.8</v>
      </c>
      <c r="K371" s="239">
        <f t="shared" si="87"/>
        <v>122275.8</v>
      </c>
      <c r="L371" s="239">
        <f t="shared" si="87"/>
        <v>122275.8</v>
      </c>
    </row>
    <row r="372" spans="2:12" ht="21.6">
      <c r="B372" s="232"/>
      <c r="C372" s="232"/>
      <c r="D372" s="232"/>
      <c r="E372" s="236"/>
      <c r="F372" s="290"/>
      <c r="G372" s="238" t="s">
        <v>460</v>
      </c>
      <c r="H372" s="283">
        <v>119476.9</v>
      </c>
      <c r="I372" s="283">
        <v>122275.8</v>
      </c>
      <c r="J372" s="283">
        <v>122275.8</v>
      </c>
      <c r="K372" s="283">
        <v>122275.8</v>
      </c>
      <c r="L372" s="283">
        <v>122275.8</v>
      </c>
    </row>
    <row r="373" spans="2:12" s="247" customFormat="1" ht="24" customHeight="1">
      <c r="B373" s="248"/>
      <c r="C373" s="248"/>
      <c r="D373" s="248"/>
      <c r="E373" s="248"/>
      <c r="F373" s="245" t="str">
        <f>'[1]Tntesagitakan (2)'!B210</f>
        <v xml:space="preserve"> 11012</v>
      </c>
      <c r="G373" s="234" t="s">
        <v>521</v>
      </c>
      <c r="H373" s="286">
        <f>H375</f>
        <v>4388.7</v>
      </c>
      <c r="I373" s="286">
        <f>I375</f>
        <v>4388.7</v>
      </c>
      <c r="J373" s="286">
        <f>J375</f>
        <v>4388.7</v>
      </c>
      <c r="K373" s="286">
        <f>K375</f>
        <v>4388.7</v>
      </c>
      <c r="L373" s="286">
        <f>L375</f>
        <v>4388.7</v>
      </c>
    </row>
    <row r="374" spans="2:12">
      <c r="B374" s="232"/>
      <c r="C374" s="232"/>
      <c r="D374" s="232"/>
      <c r="E374" s="236"/>
      <c r="F374" s="237"/>
      <c r="G374" s="242" t="s">
        <v>66</v>
      </c>
      <c r="H374" s="229"/>
      <c r="I374" s="229"/>
      <c r="J374" s="239"/>
      <c r="K374" s="239"/>
      <c r="L374" s="239"/>
    </row>
    <row r="375" spans="2:12">
      <c r="B375" s="232"/>
      <c r="C375" s="232"/>
      <c r="D375" s="232"/>
      <c r="E375" s="236"/>
      <c r="F375" s="241"/>
      <c r="G375" s="238" t="s">
        <v>454</v>
      </c>
      <c r="H375" s="283">
        <f>H377</f>
        <v>4388.7</v>
      </c>
      <c r="I375" s="283">
        <f>I377</f>
        <v>4388.7</v>
      </c>
      <c r="J375" s="283">
        <f>J377</f>
        <v>4388.7</v>
      </c>
      <c r="K375" s="283">
        <f>K377</f>
        <v>4388.7</v>
      </c>
      <c r="L375" s="283">
        <f>L377</f>
        <v>4388.7</v>
      </c>
    </row>
    <row r="376" spans="2:12" ht="21.6">
      <c r="B376" s="232"/>
      <c r="C376" s="232"/>
      <c r="D376" s="232"/>
      <c r="E376" s="236"/>
      <c r="F376" s="241"/>
      <c r="G376" s="242" t="s">
        <v>455</v>
      </c>
      <c r="H376" s="286"/>
      <c r="I376" s="286"/>
      <c r="J376" s="286"/>
      <c r="K376" s="286"/>
      <c r="L376" s="286"/>
    </row>
    <row r="377" spans="2:12">
      <c r="B377" s="232"/>
      <c r="C377" s="232"/>
      <c r="D377" s="232"/>
      <c r="E377" s="236"/>
      <c r="F377" s="241"/>
      <c r="G377" s="238" t="s">
        <v>456</v>
      </c>
      <c r="H377" s="229">
        <f t="shared" ref="H377:L379" si="88">H378</f>
        <v>4388.7</v>
      </c>
      <c r="I377" s="229">
        <f t="shared" si="88"/>
        <v>4388.7</v>
      </c>
      <c r="J377" s="239">
        <f t="shared" si="88"/>
        <v>4388.7</v>
      </c>
      <c r="K377" s="239">
        <f t="shared" si="88"/>
        <v>4388.7</v>
      </c>
      <c r="L377" s="239">
        <f t="shared" si="88"/>
        <v>4388.7</v>
      </c>
    </row>
    <row r="378" spans="2:12">
      <c r="B378" s="232"/>
      <c r="C378" s="232"/>
      <c r="D378" s="232"/>
      <c r="E378" s="236"/>
      <c r="F378" s="241"/>
      <c r="G378" s="238" t="s">
        <v>457</v>
      </c>
      <c r="H378" s="283">
        <f t="shared" si="88"/>
        <v>4388.7</v>
      </c>
      <c r="I378" s="283">
        <f t="shared" si="88"/>
        <v>4388.7</v>
      </c>
      <c r="J378" s="283">
        <f t="shared" si="88"/>
        <v>4388.7</v>
      </c>
      <c r="K378" s="283">
        <f t="shared" si="88"/>
        <v>4388.7</v>
      </c>
      <c r="L378" s="283">
        <f t="shared" si="88"/>
        <v>4388.7</v>
      </c>
    </row>
    <row r="379" spans="2:12">
      <c r="B379" s="232"/>
      <c r="C379" s="232"/>
      <c r="D379" s="232"/>
      <c r="E379" s="236"/>
      <c r="F379" s="241"/>
      <c r="G379" s="242" t="s">
        <v>483</v>
      </c>
      <c r="H379" s="283">
        <f t="shared" si="88"/>
        <v>4388.7</v>
      </c>
      <c r="I379" s="283">
        <f t="shared" si="88"/>
        <v>4388.7</v>
      </c>
      <c r="J379" s="283">
        <f t="shared" si="88"/>
        <v>4388.7</v>
      </c>
      <c r="K379" s="283">
        <f t="shared" si="88"/>
        <v>4388.7</v>
      </c>
      <c r="L379" s="283">
        <f t="shared" si="88"/>
        <v>4388.7</v>
      </c>
    </row>
    <row r="380" spans="2:12">
      <c r="B380" s="232"/>
      <c r="C380" s="232"/>
      <c r="D380" s="232"/>
      <c r="E380" s="236"/>
      <c r="F380" s="290"/>
      <c r="G380" s="238" t="s">
        <v>484</v>
      </c>
      <c r="H380" s="229">
        <v>4388.7</v>
      </c>
      <c r="I380" s="229">
        <v>4388.7</v>
      </c>
      <c r="J380" s="239">
        <v>4388.7</v>
      </c>
      <c r="K380" s="239">
        <v>4388.7</v>
      </c>
      <c r="L380" s="239">
        <v>4388.7</v>
      </c>
    </row>
    <row r="381" spans="2:12" s="247" customFormat="1" ht="34.200000000000003">
      <c r="B381" s="248"/>
      <c r="C381" s="248"/>
      <c r="D381" s="248"/>
      <c r="E381" s="248"/>
      <c r="F381" s="245" t="str">
        <f>'[1]Tntesagitakan (2)'!B227</f>
        <v xml:space="preserve"> 12004</v>
      </c>
      <c r="G381" s="234" t="s">
        <v>409</v>
      </c>
      <c r="H381" s="286">
        <f>H383</f>
        <v>495700</v>
      </c>
      <c r="I381" s="286">
        <f>I383</f>
        <v>467771</v>
      </c>
      <c r="J381" s="286">
        <f>J383</f>
        <v>440751</v>
      </c>
      <c r="K381" s="286">
        <f>K383</f>
        <v>402800</v>
      </c>
      <c r="L381" s="286">
        <f>L383</f>
        <v>385000</v>
      </c>
    </row>
    <row r="382" spans="2:12">
      <c r="B382" s="232"/>
      <c r="C382" s="232"/>
      <c r="D382" s="232"/>
      <c r="E382" s="236"/>
      <c r="F382" s="237"/>
      <c r="G382" s="242" t="s">
        <v>66</v>
      </c>
      <c r="H382" s="229"/>
      <c r="I382" s="229"/>
      <c r="J382" s="239"/>
      <c r="K382" s="239"/>
      <c r="L382" s="239"/>
    </row>
    <row r="383" spans="2:12">
      <c r="B383" s="232"/>
      <c r="C383" s="232"/>
      <c r="D383" s="232"/>
      <c r="E383" s="236"/>
      <c r="F383" s="241"/>
      <c r="G383" s="238" t="s">
        <v>454</v>
      </c>
      <c r="H383" s="283">
        <f>H385</f>
        <v>495700</v>
      </c>
      <c r="I383" s="283">
        <f>I385</f>
        <v>467771</v>
      </c>
      <c r="J383" s="283">
        <f>J385</f>
        <v>440751</v>
      </c>
      <c r="K383" s="283">
        <f>K385</f>
        <v>402800</v>
      </c>
      <c r="L383" s="283">
        <f>L385</f>
        <v>385000</v>
      </c>
    </row>
    <row r="384" spans="2:12" ht="21.6">
      <c r="B384" s="232"/>
      <c r="C384" s="232"/>
      <c r="D384" s="232"/>
      <c r="E384" s="236"/>
      <c r="F384" s="241"/>
      <c r="G384" s="238" t="s">
        <v>455</v>
      </c>
      <c r="H384" s="286"/>
      <c r="I384" s="286"/>
      <c r="J384" s="286"/>
      <c r="K384" s="286"/>
      <c r="L384" s="286"/>
    </row>
    <row r="385" spans="2:12">
      <c r="B385" s="232"/>
      <c r="C385" s="232"/>
      <c r="D385" s="232"/>
      <c r="E385" s="232"/>
      <c r="F385" s="241"/>
      <c r="G385" s="242" t="s">
        <v>456</v>
      </c>
      <c r="H385" s="229">
        <f t="shared" ref="H385:L388" si="89">H386</f>
        <v>495700</v>
      </c>
      <c r="I385" s="229">
        <f t="shared" si="89"/>
        <v>467771</v>
      </c>
      <c r="J385" s="239">
        <f t="shared" si="89"/>
        <v>440751</v>
      </c>
      <c r="K385" s="239">
        <f t="shared" si="89"/>
        <v>402800</v>
      </c>
      <c r="L385" s="239">
        <f t="shared" si="89"/>
        <v>385000</v>
      </c>
    </row>
    <row r="386" spans="2:12">
      <c r="B386" s="232"/>
      <c r="C386" s="232"/>
      <c r="D386" s="232"/>
      <c r="E386" s="232"/>
      <c r="F386" s="241"/>
      <c r="G386" s="238" t="s">
        <v>457</v>
      </c>
      <c r="H386" s="283">
        <f t="shared" si="89"/>
        <v>495700</v>
      </c>
      <c r="I386" s="283">
        <f t="shared" si="89"/>
        <v>467771</v>
      </c>
      <c r="J386" s="283">
        <f t="shared" si="89"/>
        <v>440751</v>
      </c>
      <c r="K386" s="283">
        <f t="shared" si="89"/>
        <v>402800</v>
      </c>
      <c r="L386" s="283">
        <f t="shared" si="89"/>
        <v>385000</v>
      </c>
    </row>
    <row r="387" spans="2:12">
      <c r="B387" s="232"/>
      <c r="C387" s="232"/>
      <c r="D387" s="232"/>
      <c r="E387" s="232"/>
      <c r="F387" s="241"/>
      <c r="G387" s="242" t="s">
        <v>458</v>
      </c>
      <c r="H387" s="283">
        <f t="shared" si="89"/>
        <v>495700</v>
      </c>
      <c r="I387" s="283">
        <f t="shared" si="89"/>
        <v>467771</v>
      </c>
      <c r="J387" s="283">
        <f t="shared" si="89"/>
        <v>440751</v>
      </c>
      <c r="K387" s="283">
        <f t="shared" si="89"/>
        <v>402800</v>
      </c>
      <c r="L387" s="283">
        <f t="shared" si="89"/>
        <v>385000</v>
      </c>
    </row>
    <row r="388" spans="2:12" ht="21.6">
      <c r="B388" s="232"/>
      <c r="C388" s="232"/>
      <c r="D388" s="232"/>
      <c r="E388" s="232"/>
      <c r="F388" s="241"/>
      <c r="G388" s="238" t="s">
        <v>459</v>
      </c>
      <c r="H388" s="229">
        <f t="shared" si="89"/>
        <v>495700</v>
      </c>
      <c r="I388" s="229">
        <f t="shared" si="89"/>
        <v>467771</v>
      </c>
      <c r="J388" s="239">
        <f t="shared" si="89"/>
        <v>440751</v>
      </c>
      <c r="K388" s="239">
        <f t="shared" si="89"/>
        <v>402800</v>
      </c>
      <c r="L388" s="239">
        <f t="shared" si="89"/>
        <v>385000</v>
      </c>
    </row>
    <row r="389" spans="2:12">
      <c r="B389" s="232"/>
      <c r="C389" s="232"/>
      <c r="D389" s="232"/>
      <c r="E389" s="232"/>
      <c r="F389" s="290"/>
      <c r="G389" s="238" t="s">
        <v>522</v>
      </c>
      <c r="H389" s="229">
        <v>495700</v>
      </c>
      <c r="I389" s="229">
        <v>467771</v>
      </c>
      <c r="J389" s="239">
        <v>440751</v>
      </c>
      <c r="K389" s="239">
        <v>402800</v>
      </c>
      <c r="L389" s="239">
        <v>385000</v>
      </c>
    </row>
    <row r="390" spans="2:12" s="247" customFormat="1" ht="68.400000000000006">
      <c r="B390" s="232"/>
      <c r="C390" s="232"/>
      <c r="D390" s="232"/>
      <c r="E390" s="232"/>
      <c r="F390" s="245">
        <v>32001</v>
      </c>
      <c r="G390" s="234" t="s">
        <v>523</v>
      </c>
      <c r="H390" s="286">
        <f>H392</f>
        <v>406414.41000000003</v>
      </c>
      <c r="I390" s="286">
        <f t="shared" ref="I390:L390" si="90">I392</f>
        <v>0</v>
      </c>
      <c r="J390" s="286">
        <f t="shared" si="90"/>
        <v>0</v>
      </c>
      <c r="K390" s="286">
        <f t="shared" si="90"/>
        <v>0</v>
      </c>
      <c r="L390" s="286">
        <f t="shared" si="90"/>
        <v>0</v>
      </c>
    </row>
    <row r="391" spans="2:12">
      <c r="B391" s="232"/>
      <c r="C391" s="232"/>
      <c r="D391" s="232"/>
      <c r="E391" s="232"/>
      <c r="F391" s="237"/>
      <c r="G391" s="242" t="s">
        <v>66</v>
      </c>
      <c r="H391" s="229"/>
      <c r="I391" s="229"/>
      <c r="J391" s="239"/>
      <c r="K391" s="239"/>
      <c r="L391" s="239"/>
    </row>
    <row r="392" spans="2:12">
      <c r="B392" s="232"/>
      <c r="C392" s="232"/>
      <c r="D392" s="232"/>
      <c r="E392" s="232"/>
      <c r="F392" s="241"/>
      <c r="G392" s="238" t="s">
        <v>454</v>
      </c>
      <c r="H392" s="283">
        <f>H394</f>
        <v>406414.41000000003</v>
      </c>
      <c r="I392" s="283">
        <f>I394</f>
        <v>0</v>
      </c>
      <c r="J392" s="283">
        <f>J394</f>
        <v>0</v>
      </c>
      <c r="K392" s="283">
        <f>K394</f>
        <v>0</v>
      </c>
      <c r="L392" s="283">
        <f>L394</f>
        <v>0</v>
      </c>
    </row>
    <row r="393" spans="2:12" ht="21.6">
      <c r="B393" s="232"/>
      <c r="C393" s="232"/>
      <c r="D393" s="232"/>
      <c r="E393" s="232"/>
      <c r="F393" s="241"/>
      <c r="G393" s="238" t="s">
        <v>455</v>
      </c>
      <c r="H393" s="286"/>
      <c r="I393" s="286"/>
      <c r="J393" s="286"/>
      <c r="K393" s="286"/>
      <c r="L393" s="286"/>
    </row>
    <row r="394" spans="2:12">
      <c r="B394" s="232"/>
      <c r="C394" s="232"/>
      <c r="D394" s="232"/>
      <c r="E394" s="232"/>
      <c r="F394" s="241"/>
      <c r="G394" s="242" t="s">
        <v>456</v>
      </c>
      <c r="H394" s="229">
        <f t="shared" ref="H394:L397" si="91">H395</f>
        <v>406414.41000000003</v>
      </c>
      <c r="I394" s="229">
        <f t="shared" si="91"/>
        <v>0</v>
      </c>
      <c r="J394" s="239">
        <f t="shared" si="91"/>
        <v>0</v>
      </c>
      <c r="K394" s="239">
        <f t="shared" si="91"/>
        <v>0</v>
      </c>
      <c r="L394" s="239">
        <f t="shared" si="91"/>
        <v>0</v>
      </c>
    </row>
    <row r="395" spans="2:12">
      <c r="B395" s="232"/>
      <c r="C395" s="232"/>
      <c r="D395" s="232"/>
      <c r="E395" s="232"/>
      <c r="F395" s="241"/>
      <c r="G395" s="238" t="s">
        <v>491</v>
      </c>
      <c r="H395" s="283">
        <f t="shared" si="91"/>
        <v>406414.41000000003</v>
      </c>
      <c r="I395" s="283">
        <f t="shared" si="91"/>
        <v>0</v>
      </c>
      <c r="J395" s="283">
        <f t="shared" si="91"/>
        <v>0</v>
      </c>
      <c r="K395" s="283">
        <f t="shared" si="91"/>
        <v>0</v>
      </c>
      <c r="L395" s="283">
        <f t="shared" si="91"/>
        <v>0</v>
      </c>
    </row>
    <row r="396" spans="2:12">
      <c r="B396" s="232"/>
      <c r="C396" s="232"/>
      <c r="D396" s="232"/>
      <c r="E396" s="232"/>
      <c r="F396" s="241"/>
      <c r="G396" s="242" t="s">
        <v>492</v>
      </c>
      <c r="H396" s="283">
        <f t="shared" si="91"/>
        <v>406414.41000000003</v>
      </c>
      <c r="I396" s="283">
        <f t="shared" si="91"/>
        <v>0</v>
      </c>
      <c r="J396" s="283">
        <f t="shared" si="91"/>
        <v>0</v>
      </c>
      <c r="K396" s="283">
        <f t="shared" si="91"/>
        <v>0</v>
      </c>
      <c r="L396" s="283">
        <f t="shared" si="91"/>
        <v>0</v>
      </c>
    </row>
    <row r="397" spans="2:12">
      <c r="B397" s="232"/>
      <c r="C397" s="232"/>
      <c r="D397" s="232"/>
      <c r="E397" s="232"/>
      <c r="F397" s="241"/>
      <c r="G397" s="238" t="s">
        <v>514</v>
      </c>
      <c r="H397" s="229">
        <f t="shared" si="91"/>
        <v>406414.41000000003</v>
      </c>
      <c r="I397" s="229">
        <f t="shared" si="91"/>
        <v>0</v>
      </c>
      <c r="J397" s="239">
        <f t="shared" si="91"/>
        <v>0</v>
      </c>
      <c r="K397" s="239">
        <f t="shared" si="91"/>
        <v>0</v>
      </c>
      <c r="L397" s="239">
        <f t="shared" si="91"/>
        <v>0</v>
      </c>
    </row>
    <row r="398" spans="2:12">
      <c r="B398" s="232"/>
      <c r="C398" s="232"/>
      <c r="D398" s="232"/>
      <c r="E398" s="232"/>
      <c r="F398" s="290"/>
      <c r="G398" s="238" t="s">
        <v>524</v>
      </c>
      <c r="H398" s="229">
        <v>406414.41000000003</v>
      </c>
      <c r="I398" s="229"/>
      <c r="J398" s="239"/>
      <c r="K398" s="239"/>
      <c r="L398" s="239"/>
    </row>
    <row r="399" spans="2:12" s="247" customFormat="1" ht="22.8">
      <c r="B399" s="232"/>
      <c r="C399" s="232"/>
      <c r="D399" s="232"/>
      <c r="E399" s="232"/>
      <c r="F399" s="397">
        <v>32002</v>
      </c>
      <c r="G399" s="234" t="s">
        <v>525</v>
      </c>
      <c r="H399" s="286">
        <f>H401</f>
        <v>16800</v>
      </c>
      <c r="I399" s="286">
        <f>I401</f>
        <v>0</v>
      </c>
      <c r="J399" s="286">
        <f>J401</f>
        <v>0</v>
      </c>
      <c r="K399" s="286">
        <f>K401</f>
        <v>0</v>
      </c>
      <c r="L399" s="286">
        <f>L401</f>
        <v>0</v>
      </c>
    </row>
    <row r="400" spans="2:12">
      <c r="B400" s="232"/>
      <c r="C400" s="232"/>
      <c r="D400" s="232"/>
      <c r="E400" s="232"/>
      <c r="F400" s="237"/>
      <c r="G400" s="242" t="s">
        <v>66</v>
      </c>
      <c r="H400" s="229"/>
      <c r="I400" s="229"/>
      <c r="J400" s="239"/>
      <c r="K400" s="239"/>
      <c r="L400" s="239"/>
    </row>
    <row r="401" spans="2:12">
      <c r="B401" s="232"/>
      <c r="C401" s="232"/>
      <c r="D401" s="232"/>
      <c r="E401" s="232"/>
      <c r="F401" s="758"/>
      <c r="G401" s="238" t="s">
        <v>454</v>
      </c>
      <c r="H401" s="283">
        <f>H403</f>
        <v>16800</v>
      </c>
      <c r="I401" s="283">
        <f>I403</f>
        <v>0</v>
      </c>
      <c r="J401" s="283">
        <f>J403</f>
        <v>0</v>
      </c>
      <c r="K401" s="283">
        <f>K403</f>
        <v>0</v>
      </c>
      <c r="L401" s="283">
        <f>L403</f>
        <v>0</v>
      </c>
    </row>
    <row r="402" spans="2:12" ht="21.6">
      <c r="B402" s="232"/>
      <c r="C402" s="232"/>
      <c r="D402" s="232"/>
      <c r="E402" s="232"/>
      <c r="F402" s="758"/>
      <c r="G402" s="238" t="s">
        <v>455</v>
      </c>
      <c r="H402" s="286"/>
      <c r="I402" s="286"/>
      <c r="J402" s="286"/>
      <c r="K402" s="286"/>
      <c r="L402" s="286"/>
    </row>
    <row r="403" spans="2:12">
      <c r="B403" s="232"/>
      <c r="C403" s="232"/>
      <c r="D403" s="232"/>
      <c r="E403" s="232"/>
      <c r="F403" s="758"/>
      <c r="G403" s="242" t="s">
        <v>456</v>
      </c>
      <c r="H403" s="229">
        <f t="shared" ref="H403:L406" si="92">H404</f>
        <v>16800</v>
      </c>
      <c r="I403" s="229">
        <f t="shared" si="92"/>
        <v>0</v>
      </c>
      <c r="J403" s="239">
        <f t="shared" si="92"/>
        <v>0</v>
      </c>
      <c r="K403" s="239">
        <f t="shared" si="92"/>
        <v>0</v>
      </c>
      <c r="L403" s="239">
        <f t="shared" si="92"/>
        <v>0</v>
      </c>
    </row>
    <row r="404" spans="2:12">
      <c r="B404" s="232"/>
      <c r="C404" s="232"/>
      <c r="D404" s="232"/>
      <c r="E404" s="232"/>
      <c r="F404" s="758"/>
      <c r="G404" s="238" t="s">
        <v>491</v>
      </c>
      <c r="H404" s="283">
        <f t="shared" si="92"/>
        <v>16800</v>
      </c>
      <c r="I404" s="283">
        <f t="shared" si="92"/>
        <v>0</v>
      </c>
      <c r="J404" s="283">
        <f t="shared" si="92"/>
        <v>0</v>
      </c>
      <c r="K404" s="283">
        <f t="shared" si="92"/>
        <v>0</v>
      </c>
      <c r="L404" s="283">
        <f t="shared" si="92"/>
        <v>0</v>
      </c>
    </row>
    <row r="405" spans="2:12">
      <c r="B405" s="232"/>
      <c r="C405" s="232"/>
      <c r="D405" s="232"/>
      <c r="E405" s="232"/>
      <c r="F405" s="758"/>
      <c r="G405" s="242" t="s">
        <v>492</v>
      </c>
      <c r="H405" s="283">
        <f t="shared" si="92"/>
        <v>16800</v>
      </c>
      <c r="I405" s="283">
        <f t="shared" si="92"/>
        <v>0</v>
      </c>
      <c r="J405" s="283">
        <f t="shared" si="92"/>
        <v>0</v>
      </c>
      <c r="K405" s="283">
        <f t="shared" si="92"/>
        <v>0</v>
      </c>
      <c r="L405" s="283">
        <f t="shared" si="92"/>
        <v>0</v>
      </c>
    </row>
    <row r="406" spans="2:12">
      <c r="B406" s="232"/>
      <c r="C406" s="232"/>
      <c r="D406" s="232"/>
      <c r="E406" s="232"/>
      <c r="F406" s="758"/>
      <c r="G406" s="238" t="s">
        <v>514</v>
      </c>
      <c r="H406" s="229">
        <f t="shared" si="92"/>
        <v>16800</v>
      </c>
      <c r="I406" s="229">
        <f t="shared" si="92"/>
        <v>0</v>
      </c>
      <c r="J406" s="239">
        <f t="shared" si="92"/>
        <v>0</v>
      </c>
      <c r="K406" s="239">
        <f t="shared" si="92"/>
        <v>0</v>
      </c>
      <c r="L406" s="239">
        <f t="shared" si="92"/>
        <v>0</v>
      </c>
    </row>
    <row r="407" spans="2:12">
      <c r="B407" s="232"/>
      <c r="C407" s="232"/>
      <c r="D407" s="232"/>
      <c r="E407" s="232"/>
      <c r="F407" s="295"/>
      <c r="G407" s="238" t="s">
        <v>526</v>
      </c>
      <c r="H407" s="229">
        <v>16800</v>
      </c>
      <c r="I407" s="229"/>
      <c r="J407" s="239"/>
      <c r="K407" s="239"/>
      <c r="L407" s="239"/>
    </row>
    <row r="408" spans="2:12" s="247" customFormat="1" ht="36.6" customHeight="1">
      <c r="B408" s="232"/>
      <c r="C408" s="232"/>
      <c r="D408" s="232"/>
      <c r="E408" s="232"/>
      <c r="F408" s="397" t="s">
        <v>1131</v>
      </c>
      <c r="G408" s="234" t="s">
        <v>642</v>
      </c>
      <c r="H408" s="286">
        <f>H410</f>
        <v>0</v>
      </c>
      <c r="I408" s="286">
        <f>I410</f>
        <v>0</v>
      </c>
      <c r="J408" s="286">
        <f>J410</f>
        <v>28000</v>
      </c>
      <c r="K408" s="286">
        <f>K410</f>
        <v>28000</v>
      </c>
      <c r="L408" s="286">
        <f>L410</f>
        <v>28000</v>
      </c>
    </row>
    <row r="409" spans="2:12">
      <c r="B409" s="232"/>
      <c r="C409" s="232"/>
      <c r="D409" s="232"/>
      <c r="E409" s="232"/>
      <c r="F409" s="237"/>
      <c r="G409" s="242" t="s">
        <v>66</v>
      </c>
      <c r="H409" s="229"/>
      <c r="I409" s="229"/>
      <c r="J409" s="239"/>
      <c r="K409" s="239"/>
      <c r="L409" s="239"/>
    </row>
    <row r="410" spans="2:12">
      <c r="B410" s="232"/>
      <c r="C410" s="232"/>
      <c r="D410" s="232"/>
      <c r="E410" s="232"/>
      <c r="F410" s="241"/>
      <c r="G410" s="238" t="s">
        <v>454</v>
      </c>
      <c r="H410" s="283">
        <f>H412</f>
        <v>0</v>
      </c>
      <c r="I410" s="283">
        <f>I412</f>
        <v>0</v>
      </c>
      <c r="J410" s="283">
        <f>J412</f>
        <v>28000</v>
      </c>
      <c r="K410" s="283">
        <f>K412</f>
        <v>28000</v>
      </c>
      <c r="L410" s="283">
        <f>L412</f>
        <v>28000</v>
      </c>
    </row>
    <row r="411" spans="2:12" ht="21.6">
      <c r="B411" s="232"/>
      <c r="C411" s="232"/>
      <c r="D411" s="232"/>
      <c r="E411" s="232"/>
      <c r="F411" s="241"/>
      <c r="G411" s="238" t="s">
        <v>455</v>
      </c>
      <c r="H411" s="286"/>
      <c r="I411" s="286"/>
      <c r="J411" s="286"/>
      <c r="K411" s="286"/>
      <c r="L411" s="286"/>
    </row>
    <row r="412" spans="2:12">
      <c r="B412" s="232"/>
      <c r="C412" s="232"/>
      <c r="D412" s="232"/>
      <c r="E412" s="232"/>
      <c r="F412" s="241"/>
      <c r="G412" s="242" t="s">
        <v>456</v>
      </c>
      <c r="H412" s="229">
        <f t="shared" ref="H412:L415" si="93">H413</f>
        <v>0</v>
      </c>
      <c r="I412" s="229">
        <f t="shared" si="93"/>
        <v>0</v>
      </c>
      <c r="J412" s="239">
        <f t="shared" si="93"/>
        <v>28000</v>
      </c>
      <c r="K412" s="239">
        <f t="shared" si="93"/>
        <v>28000</v>
      </c>
      <c r="L412" s="239">
        <f t="shared" si="93"/>
        <v>28000</v>
      </c>
    </row>
    <row r="413" spans="2:12">
      <c r="B413" s="232"/>
      <c r="C413" s="232"/>
      <c r="D413" s="232"/>
      <c r="E413" s="232"/>
      <c r="F413" s="241"/>
      <c r="G413" s="238" t="s">
        <v>491</v>
      </c>
      <c r="H413" s="283">
        <f t="shared" si="93"/>
        <v>0</v>
      </c>
      <c r="I413" s="283">
        <f t="shared" si="93"/>
        <v>0</v>
      </c>
      <c r="J413" s="283">
        <f t="shared" si="93"/>
        <v>28000</v>
      </c>
      <c r="K413" s="283">
        <f t="shared" si="93"/>
        <v>28000</v>
      </c>
      <c r="L413" s="283">
        <f t="shared" si="93"/>
        <v>28000</v>
      </c>
    </row>
    <row r="414" spans="2:12">
      <c r="B414" s="232"/>
      <c r="C414" s="232"/>
      <c r="D414" s="232"/>
      <c r="E414" s="232"/>
      <c r="F414" s="241"/>
      <c r="G414" s="242" t="s">
        <v>492</v>
      </c>
      <c r="H414" s="283">
        <f t="shared" si="93"/>
        <v>0</v>
      </c>
      <c r="I414" s="283">
        <f t="shared" si="93"/>
        <v>0</v>
      </c>
      <c r="J414" s="283">
        <f t="shared" si="93"/>
        <v>28000</v>
      </c>
      <c r="K414" s="283">
        <f t="shared" si="93"/>
        <v>28000</v>
      </c>
      <c r="L414" s="283">
        <f t="shared" si="93"/>
        <v>28000</v>
      </c>
    </row>
    <row r="415" spans="2:12">
      <c r="B415" s="232"/>
      <c r="C415" s="232"/>
      <c r="D415" s="232"/>
      <c r="E415" s="232"/>
      <c r="F415" s="241"/>
      <c r="G415" s="238" t="s">
        <v>514</v>
      </c>
      <c r="H415" s="229">
        <f t="shared" si="93"/>
        <v>0</v>
      </c>
      <c r="I415" s="229">
        <f t="shared" si="93"/>
        <v>0</v>
      </c>
      <c r="J415" s="239">
        <f t="shared" si="93"/>
        <v>28000</v>
      </c>
      <c r="K415" s="239">
        <f t="shared" si="93"/>
        <v>28000</v>
      </c>
      <c r="L415" s="239">
        <f t="shared" si="93"/>
        <v>28000</v>
      </c>
    </row>
    <row r="416" spans="2:12">
      <c r="B416" s="232"/>
      <c r="C416" s="232"/>
      <c r="D416" s="232"/>
      <c r="E416" s="232"/>
      <c r="F416" s="295"/>
      <c r="G416" s="238" t="s">
        <v>526</v>
      </c>
      <c r="H416" s="229"/>
      <c r="I416" s="229"/>
      <c r="J416" s="239">
        <v>28000</v>
      </c>
      <c r="K416" s="239">
        <v>28000</v>
      </c>
      <c r="L416" s="239">
        <v>28000</v>
      </c>
    </row>
    <row r="417" spans="2:12" s="247" customFormat="1" ht="43.2" customHeight="1">
      <c r="B417" s="232"/>
      <c r="C417" s="232"/>
      <c r="D417" s="232"/>
      <c r="E417" s="232"/>
      <c r="F417" s="397" t="s">
        <v>1131</v>
      </c>
      <c r="G417" s="234" t="s">
        <v>1132</v>
      </c>
      <c r="H417" s="286">
        <f>H418</f>
        <v>0</v>
      </c>
      <c r="I417" s="286">
        <f t="shared" ref="I417:L417" si="94">I418</f>
        <v>0</v>
      </c>
      <c r="J417" s="286">
        <f t="shared" si="94"/>
        <v>3557.4</v>
      </c>
      <c r="K417" s="286">
        <f t="shared" si="94"/>
        <v>3557.4</v>
      </c>
      <c r="L417" s="286">
        <f t="shared" si="94"/>
        <v>3557.4</v>
      </c>
    </row>
    <row r="418" spans="2:12" s="247" customFormat="1" ht="22.95" customHeight="1">
      <c r="B418" s="232"/>
      <c r="C418" s="232"/>
      <c r="D418" s="232"/>
      <c r="E418" s="232"/>
      <c r="F418" s="397"/>
      <c r="G418" s="234" t="s">
        <v>1133</v>
      </c>
      <c r="H418" s="286"/>
      <c r="I418" s="286"/>
      <c r="J418" s="286">
        <v>3557.4</v>
      </c>
      <c r="K418" s="286">
        <v>3557.4</v>
      </c>
      <c r="L418" s="286">
        <v>3557.4</v>
      </c>
    </row>
    <row r="419" spans="2:12" s="247" customFormat="1" ht="25.5" customHeight="1">
      <c r="B419" s="314" t="s">
        <v>515</v>
      </c>
      <c r="C419" s="310" t="s">
        <v>527</v>
      </c>
      <c r="D419" s="310" t="s">
        <v>527</v>
      </c>
      <c r="E419" s="311" t="str">
        <f>'[1]Tntesagitakan (2)'!A236</f>
        <v xml:space="preserve"> 1173</v>
      </c>
      <c r="F419" s="311"/>
      <c r="G419" s="311" t="s">
        <v>528</v>
      </c>
      <c r="H419" s="306">
        <f>H421+H430+H439+H450</f>
        <v>1554637.04</v>
      </c>
      <c r="I419" s="306">
        <f>I421+I430+I439+I450</f>
        <v>1368353.8</v>
      </c>
      <c r="J419" s="306">
        <f>J421+J430+J439+J450</f>
        <v>1368353.8</v>
      </c>
      <c r="K419" s="306">
        <f t="shared" ref="K419:L419" si="95">K421+K430+K439+K450</f>
        <v>3721591.6102254745</v>
      </c>
      <c r="L419" s="306">
        <f t="shared" si="95"/>
        <v>4574966.2374997772</v>
      </c>
    </row>
    <row r="420" spans="2:12">
      <c r="B420" s="226"/>
      <c r="C420" s="226"/>
      <c r="D420" s="226"/>
      <c r="E420" s="226"/>
      <c r="F420" s="227"/>
      <c r="G420" s="228" t="s">
        <v>497</v>
      </c>
      <c r="H420" s="229"/>
      <c r="I420" s="229"/>
      <c r="J420" s="230"/>
      <c r="K420" s="230"/>
      <c r="L420" s="230"/>
    </row>
    <row r="421" spans="2:12" s="247" customFormat="1" ht="42" customHeight="1">
      <c r="B421" s="248"/>
      <c r="C421" s="248"/>
      <c r="D421" s="248"/>
      <c r="E421" s="248"/>
      <c r="F421" s="245" t="str">
        <f>'[1]Tntesagitakan (2)'!B272</f>
        <v xml:space="preserve"> 11002</v>
      </c>
      <c r="G421" s="234" t="s">
        <v>438</v>
      </c>
      <c r="H421" s="286">
        <f>H423</f>
        <v>474447.8</v>
      </c>
      <c r="I421" s="286">
        <f>I423</f>
        <v>474447.8</v>
      </c>
      <c r="J421" s="286">
        <f>J423</f>
        <v>474447.8</v>
      </c>
      <c r="K421" s="286">
        <f>K423</f>
        <v>474447.8</v>
      </c>
      <c r="L421" s="286">
        <f>L423</f>
        <v>474447.8</v>
      </c>
    </row>
    <row r="422" spans="2:12">
      <c r="B422" s="232"/>
      <c r="C422" s="232"/>
      <c r="D422" s="232"/>
      <c r="E422" s="236"/>
      <c r="F422" s="237"/>
      <c r="G422" s="238" t="s">
        <v>66</v>
      </c>
      <c r="H422" s="229"/>
      <c r="I422" s="229"/>
      <c r="J422" s="239"/>
      <c r="K422" s="239"/>
      <c r="L422" s="239"/>
    </row>
    <row r="423" spans="2:12">
      <c r="B423" s="232"/>
      <c r="C423" s="232"/>
      <c r="D423" s="232"/>
      <c r="E423" s="236"/>
      <c r="F423" s="241"/>
      <c r="G423" s="242" t="s">
        <v>454</v>
      </c>
      <c r="H423" s="283">
        <f>H425</f>
        <v>474447.8</v>
      </c>
      <c r="I423" s="283">
        <f>I425</f>
        <v>474447.8</v>
      </c>
      <c r="J423" s="283">
        <f>J425</f>
        <v>474447.8</v>
      </c>
      <c r="K423" s="283">
        <f>K425</f>
        <v>474447.8</v>
      </c>
      <c r="L423" s="283">
        <f>L425</f>
        <v>474447.8</v>
      </c>
    </row>
    <row r="424" spans="2:12" ht="21.6">
      <c r="B424" s="232"/>
      <c r="C424" s="232"/>
      <c r="D424" s="232"/>
      <c r="E424" s="236"/>
      <c r="F424" s="241"/>
      <c r="G424" s="238" t="s">
        <v>455</v>
      </c>
      <c r="H424" s="286"/>
      <c r="I424" s="286"/>
      <c r="J424" s="286"/>
      <c r="K424" s="286"/>
      <c r="L424" s="286"/>
    </row>
    <row r="425" spans="2:12">
      <c r="B425" s="232"/>
      <c r="C425" s="232"/>
      <c r="D425" s="232"/>
      <c r="E425" s="236"/>
      <c r="F425" s="241"/>
      <c r="G425" s="238" t="s">
        <v>456</v>
      </c>
      <c r="H425" s="229">
        <f t="shared" ref="H425:L428" si="96">H426</f>
        <v>474447.8</v>
      </c>
      <c r="I425" s="229">
        <f t="shared" si="96"/>
        <v>474447.8</v>
      </c>
      <c r="J425" s="239">
        <f t="shared" si="96"/>
        <v>474447.8</v>
      </c>
      <c r="K425" s="239">
        <f t="shared" si="96"/>
        <v>474447.8</v>
      </c>
      <c r="L425" s="239">
        <f t="shared" si="96"/>
        <v>474447.8</v>
      </c>
    </row>
    <row r="426" spans="2:12">
      <c r="B426" s="232"/>
      <c r="C426" s="232"/>
      <c r="D426" s="232"/>
      <c r="E426" s="236"/>
      <c r="F426" s="241"/>
      <c r="G426" s="242" t="s">
        <v>457</v>
      </c>
      <c r="H426" s="283">
        <f t="shared" si="96"/>
        <v>474447.8</v>
      </c>
      <c r="I426" s="283">
        <f t="shared" si="96"/>
        <v>474447.8</v>
      </c>
      <c r="J426" s="283">
        <f t="shared" si="96"/>
        <v>474447.8</v>
      </c>
      <c r="K426" s="283">
        <f t="shared" si="96"/>
        <v>474447.8</v>
      </c>
      <c r="L426" s="283">
        <f t="shared" si="96"/>
        <v>474447.8</v>
      </c>
    </row>
    <row r="427" spans="2:12">
      <c r="B427" s="232"/>
      <c r="C427" s="232"/>
      <c r="D427" s="232"/>
      <c r="E427" s="236"/>
      <c r="F427" s="241"/>
      <c r="G427" s="238" t="s">
        <v>458</v>
      </c>
      <c r="H427" s="283">
        <f t="shared" si="96"/>
        <v>474447.8</v>
      </c>
      <c r="I427" s="283">
        <f t="shared" si="96"/>
        <v>474447.8</v>
      </c>
      <c r="J427" s="283">
        <f t="shared" si="96"/>
        <v>474447.8</v>
      </c>
      <c r="K427" s="283">
        <f t="shared" si="96"/>
        <v>474447.8</v>
      </c>
      <c r="L427" s="283">
        <f t="shared" si="96"/>
        <v>474447.8</v>
      </c>
    </row>
    <row r="428" spans="2:12" ht="21.6">
      <c r="B428" s="232"/>
      <c r="C428" s="232"/>
      <c r="D428" s="232"/>
      <c r="E428" s="236"/>
      <c r="F428" s="241"/>
      <c r="G428" s="242" t="s">
        <v>459</v>
      </c>
      <c r="H428" s="229">
        <f>H429</f>
        <v>474447.8</v>
      </c>
      <c r="I428" s="229">
        <f t="shared" si="96"/>
        <v>474447.8</v>
      </c>
      <c r="J428" s="229">
        <f t="shared" si="96"/>
        <v>474447.8</v>
      </c>
      <c r="K428" s="229">
        <f t="shared" si="96"/>
        <v>474447.8</v>
      </c>
      <c r="L428" s="229">
        <f t="shared" si="96"/>
        <v>474447.8</v>
      </c>
    </row>
    <row r="429" spans="2:12" ht="21.6">
      <c r="B429" s="232"/>
      <c r="C429" s="232"/>
      <c r="D429" s="232"/>
      <c r="E429" s="236"/>
      <c r="F429" s="290"/>
      <c r="G429" s="238" t="s">
        <v>460</v>
      </c>
      <c r="H429" s="283">
        <v>474447.8</v>
      </c>
      <c r="I429" s="283">
        <v>474447.8</v>
      </c>
      <c r="J429" s="283">
        <v>474447.8</v>
      </c>
      <c r="K429" s="283">
        <v>474447.8</v>
      </c>
      <c r="L429" s="283">
        <v>474447.8</v>
      </c>
    </row>
    <row r="430" spans="2:12" s="247" customFormat="1" ht="20.25" customHeight="1">
      <c r="B430" s="248"/>
      <c r="C430" s="248"/>
      <c r="D430" s="248"/>
      <c r="E430" s="248"/>
      <c r="F430" s="245" t="str">
        <f>'[1]Tntesagitakan (2)'!B281</f>
        <v xml:space="preserve"> 11003</v>
      </c>
      <c r="G430" s="234" t="s">
        <v>433</v>
      </c>
      <c r="H430" s="286">
        <f>H432</f>
        <v>0</v>
      </c>
      <c r="I430" s="286">
        <f>I432</f>
        <v>3000</v>
      </c>
      <c r="J430" s="286">
        <f>J432</f>
        <v>3000</v>
      </c>
      <c r="K430" s="286">
        <f>K432</f>
        <v>3000</v>
      </c>
      <c r="L430" s="286">
        <f>L432</f>
        <v>3000</v>
      </c>
    </row>
    <row r="431" spans="2:12">
      <c r="B431" s="232"/>
      <c r="C431" s="232"/>
      <c r="D431" s="232"/>
      <c r="E431" s="236"/>
      <c r="F431" s="237"/>
      <c r="G431" s="238" t="s">
        <v>66</v>
      </c>
      <c r="H431" s="229"/>
      <c r="I431" s="229"/>
      <c r="J431" s="239"/>
      <c r="K431" s="239"/>
      <c r="L431" s="239"/>
    </row>
    <row r="432" spans="2:12" ht="21.6">
      <c r="B432" s="232"/>
      <c r="C432" s="232"/>
      <c r="D432" s="232"/>
      <c r="E432" s="236"/>
      <c r="F432" s="241"/>
      <c r="G432" s="242" t="s">
        <v>530</v>
      </c>
      <c r="H432" s="283">
        <f>H434</f>
        <v>0</v>
      </c>
      <c r="I432" s="283">
        <f>I434</f>
        <v>3000</v>
      </c>
      <c r="J432" s="283">
        <f>J434</f>
        <v>3000</v>
      </c>
      <c r="K432" s="283">
        <f>K434</f>
        <v>3000</v>
      </c>
      <c r="L432" s="283">
        <f>L434</f>
        <v>3000</v>
      </c>
    </row>
    <row r="433" spans="2:12" ht="21.6">
      <c r="B433" s="232"/>
      <c r="C433" s="232"/>
      <c r="D433" s="232"/>
      <c r="E433" s="236"/>
      <c r="F433" s="241"/>
      <c r="G433" s="238" t="s">
        <v>455</v>
      </c>
      <c r="H433" s="286"/>
      <c r="I433" s="286"/>
      <c r="J433" s="286"/>
      <c r="K433" s="286"/>
      <c r="L433" s="286"/>
    </row>
    <row r="434" spans="2:12">
      <c r="B434" s="232"/>
      <c r="C434" s="232"/>
      <c r="D434" s="232"/>
      <c r="E434" s="236"/>
      <c r="F434" s="241"/>
      <c r="G434" s="238" t="s">
        <v>456</v>
      </c>
      <c r="H434" s="229">
        <f t="shared" ref="H434:L437" si="97">H435</f>
        <v>0</v>
      </c>
      <c r="I434" s="229">
        <f t="shared" si="97"/>
        <v>3000</v>
      </c>
      <c r="J434" s="239">
        <f t="shared" si="97"/>
        <v>3000</v>
      </c>
      <c r="K434" s="239">
        <f t="shared" si="97"/>
        <v>3000</v>
      </c>
      <c r="L434" s="239">
        <f t="shared" si="97"/>
        <v>3000</v>
      </c>
    </row>
    <row r="435" spans="2:12">
      <c r="B435" s="232"/>
      <c r="C435" s="232"/>
      <c r="D435" s="232"/>
      <c r="E435" s="236"/>
      <c r="F435" s="241"/>
      <c r="G435" s="242" t="s">
        <v>457</v>
      </c>
      <c r="H435" s="283">
        <f t="shared" si="97"/>
        <v>0</v>
      </c>
      <c r="I435" s="283">
        <f t="shared" si="97"/>
        <v>3000</v>
      </c>
      <c r="J435" s="283">
        <f t="shared" si="97"/>
        <v>3000</v>
      </c>
      <c r="K435" s="283">
        <f t="shared" si="97"/>
        <v>3000</v>
      </c>
      <c r="L435" s="283">
        <f t="shared" si="97"/>
        <v>3000</v>
      </c>
    </row>
    <row r="436" spans="2:12" ht="21.6">
      <c r="B436" s="232"/>
      <c r="C436" s="232"/>
      <c r="D436" s="232"/>
      <c r="E436" s="236"/>
      <c r="F436" s="295"/>
      <c r="G436" s="238" t="s">
        <v>466</v>
      </c>
      <c r="H436" s="283">
        <f t="shared" si="97"/>
        <v>0</v>
      </c>
      <c r="I436" s="283">
        <f t="shared" si="97"/>
        <v>3000</v>
      </c>
      <c r="J436" s="283">
        <f t="shared" si="97"/>
        <v>3000</v>
      </c>
      <c r="K436" s="283">
        <f t="shared" si="97"/>
        <v>3000</v>
      </c>
      <c r="L436" s="283">
        <f t="shared" si="97"/>
        <v>3000</v>
      </c>
    </row>
    <row r="437" spans="2:12">
      <c r="B437" s="232"/>
      <c r="C437" s="232"/>
      <c r="D437" s="232"/>
      <c r="E437" s="236"/>
      <c r="F437" s="241"/>
      <c r="G437" s="242" t="s">
        <v>470</v>
      </c>
      <c r="H437" s="229">
        <f t="shared" si="97"/>
        <v>0</v>
      </c>
      <c r="I437" s="229">
        <f t="shared" si="97"/>
        <v>3000</v>
      </c>
      <c r="J437" s="239">
        <f t="shared" si="97"/>
        <v>3000</v>
      </c>
      <c r="K437" s="239">
        <f t="shared" si="97"/>
        <v>3000</v>
      </c>
      <c r="L437" s="239">
        <f t="shared" si="97"/>
        <v>3000</v>
      </c>
    </row>
    <row r="438" spans="2:12">
      <c r="B438" s="232"/>
      <c r="C438" s="232"/>
      <c r="D438" s="232"/>
      <c r="E438" s="236"/>
      <c r="F438" s="244"/>
      <c r="G438" s="238" t="s">
        <v>477</v>
      </c>
      <c r="H438" s="283"/>
      <c r="I438" s="283">
        <v>3000</v>
      </c>
      <c r="J438" s="283">
        <v>3000</v>
      </c>
      <c r="K438" s="283">
        <v>3000</v>
      </c>
      <c r="L438" s="283">
        <v>3000</v>
      </c>
    </row>
    <row r="439" spans="2:12" s="247" customFormat="1">
      <c r="B439" s="248"/>
      <c r="C439" s="248"/>
      <c r="D439" s="248"/>
      <c r="E439" s="248"/>
      <c r="F439" s="245" t="str">
        <f>'[1]Tntesagitakan (2)'!B290</f>
        <v xml:space="preserve"> 11004</v>
      </c>
      <c r="G439" s="234" t="s">
        <v>434</v>
      </c>
      <c r="H439" s="286">
        <f>H441</f>
        <v>148880</v>
      </c>
      <c r="I439" s="286">
        <f>I441</f>
        <v>390906</v>
      </c>
      <c r="J439" s="286">
        <f>J441</f>
        <v>390906</v>
      </c>
      <c r="K439" s="286">
        <f t="shared" ref="K439:L439" si="98">K441</f>
        <v>345384</v>
      </c>
      <c r="L439" s="286">
        <f t="shared" si="98"/>
        <v>302211</v>
      </c>
    </row>
    <row r="440" spans="2:12">
      <c r="B440" s="232"/>
      <c r="C440" s="232"/>
      <c r="D440" s="232"/>
      <c r="E440" s="236"/>
      <c r="F440" s="237"/>
      <c r="G440" s="238" t="s">
        <v>66</v>
      </c>
      <c r="H440" s="229"/>
      <c r="I440" s="229"/>
      <c r="J440" s="239"/>
      <c r="K440" s="239"/>
      <c r="L440" s="239"/>
    </row>
    <row r="441" spans="2:12" ht="21.6">
      <c r="B441" s="232"/>
      <c r="C441" s="232"/>
      <c r="D441" s="232"/>
      <c r="E441" s="236"/>
      <c r="F441" s="241"/>
      <c r="G441" s="242" t="s">
        <v>530</v>
      </c>
      <c r="H441" s="283">
        <f>H443</f>
        <v>148880</v>
      </c>
      <c r="I441" s="283">
        <f>I443</f>
        <v>390906</v>
      </c>
      <c r="J441" s="283">
        <f>J443</f>
        <v>390906</v>
      </c>
      <c r="K441" s="283">
        <f>K443</f>
        <v>345384</v>
      </c>
      <c r="L441" s="283">
        <f>L443</f>
        <v>302211</v>
      </c>
    </row>
    <row r="442" spans="2:12" ht="21.6">
      <c r="B442" s="232"/>
      <c r="C442" s="232"/>
      <c r="D442" s="232"/>
      <c r="E442" s="236"/>
      <c r="F442" s="241"/>
      <c r="G442" s="238" t="s">
        <v>455</v>
      </c>
      <c r="H442" s="286"/>
      <c r="I442" s="286"/>
      <c r="J442" s="286"/>
      <c r="K442" s="286"/>
      <c r="L442" s="286"/>
    </row>
    <row r="443" spans="2:12">
      <c r="B443" s="232"/>
      <c r="C443" s="232"/>
      <c r="D443" s="232"/>
      <c r="E443" s="236"/>
      <c r="F443" s="241"/>
      <c r="G443" s="238" t="s">
        <v>456</v>
      </c>
      <c r="H443" s="229">
        <f t="shared" ref="H443:L444" si="99">H444</f>
        <v>148880</v>
      </c>
      <c r="I443" s="229">
        <f t="shared" si="99"/>
        <v>390906</v>
      </c>
      <c r="J443" s="239">
        <f t="shared" si="99"/>
        <v>390906</v>
      </c>
      <c r="K443" s="239">
        <f t="shared" si="99"/>
        <v>345384</v>
      </c>
      <c r="L443" s="239">
        <f t="shared" si="99"/>
        <v>302211</v>
      </c>
    </row>
    <row r="444" spans="2:12">
      <c r="B444" s="232"/>
      <c r="C444" s="232"/>
      <c r="D444" s="232"/>
      <c r="E444" s="236"/>
      <c r="F444" s="241"/>
      <c r="G444" s="242" t="s">
        <v>457</v>
      </c>
      <c r="H444" s="283">
        <f t="shared" si="99"/>
        <v>148880</v>
      </c>
      <c r="I444" s="283">
        <f t="shared" si="99"/>
        <v>390906</v>
      </c>
      <c r="J444" s="283">
        <f t="shared" si="99"/>
        <v>390906</v>
      </c>
      <c r="K444" s="283">
        <f t="shared" si="99"/>
        <v>345384</v>
      </c>
      <c r="L444" s="283">
        <f t="shared" si="99"/>
        <v>302211</v>
      </c>
    </row>
    <row r="445" spans="2:12" ht="21.6">
      <c r="B445" s="232"/>
      <c r="C445" s="232"/>
      <c r="D445" s="232"/>
      <c r="E445" s="236"/>
      <c r="F445" s="241"/>
      <c r="G445" s="238" t="s">
        <v>466</v>
      </c>
      <c r="H445" s="283">
        <f>H446+H448</f>
        <v>148880</v>
      </c>
      <c r="I445" s="283">
        <f>I446+I448</f>
        <v>390906</v>
      </c>
      <c r="J445" s="283">
        <f>J446+J448</f>
        <v>390906</v>
      </c>
      <c r="K445" s="283">
        <f>K446+K448</f>
        <v>345384</v>
      </c>
      <c r="L445" s="283">
        <f>L446+L448</f>
        <v>302211</v>
      </c>
    </row>
    <row r="446" spans="2:12" s="247" customFormat="1">
      <c r="B446" s="248"/>
      <c r="C446" s="248"/>
      <c r="D446" s="248"/>
      <c r="E446" s="249"/>
      <c r="F446" s="241"/>
      <c r="G446" s="259" t="s">
        <v>480</v>
      </c>
      <c r="H446" s="256">
        <f>H447</f>
        <v>148880</v>
      </c>
      <c r="I446" s="256">
        <f>I447</f>
        <v>148806</v>
      </c>
      <c r="J446" s="257">
        <f>J447</f>
        <v>148806</v>
      </c>
      <c r="K446" s="257">
        <f>K447</f>
        <v>132336</v>
      </c>
      <c r="L446" s="257">
        <f>L447</f>
        <v>115794</v>
      </c>
    </row>
    <row r="447" spans="2:12">
      <c r="B447" s="232"/>
      <c r="C447" s="232"/>
      <c r="D447" s="232"/>
      <c r="E447" s="236"/>
      <c r="F447" s="295"/>
      <c r="G447" s="238" t="s">
        <v>481</v>
      </c>
      <c r="H447" s="229">
        <v>148880</v>
      </c>
      <c r="I447" s="283">
        <v>148806</v>
      </c>
      <c r="J447" s="283">
        <v>148806</v>
      </c>
      <c r="K447" s="283">
        <v>132336</v>
      </c>
      <c r="L447" s="283">
        <v>115794</v>
      </c>
    </row>
    <row r="448" spans="2:12">
      <c r="B448" s="232"/>
      <c r="C448" s="232"/>
      <c r="D448" s="232"/>
      <c r="E448" s="236"/>
      <c r="F448" s="295"/>
      <c r="G448" s="234" t="s">
        <v>474</v>
      </c>
      <c r="H448" s="286">
        <f>H449</f>
        <v>0</v>
      </c>
      <c r="I448" s="286">
        <f>I449</f>
        <v>242100</v>
      </c>
      <c r="J448" s="286">
        <f>J449</f>
        <v>242100</v>
      </c>
      <c r="K448" s="286">
        <f t="shared" ref="K448:L448" si="100">K449</f>
        <v>213048</v>
      </c>
      <c r="L448" s="286">
        <f t="shared" si="100"/>
        <v>186417</v>
      </c>
    </row>
    <row r="449" spans="2:12">
      <c r="B449" s="232"/>
      <c r="C449" s="232"/>
      <c r="D449" s="232"/>
      <c r="E449" s="236"/>
      <c r="F449" s="290"/>
      <c r="G449" s="238" t="s">
        <v>478</v>
      </c>
      <c r="H449" s="229"/>
      <c r="I449" s="229">
        <v>242100</v>
      </c>
      <c r="J449" s="229">
        <v>242100</v>
      </c>
      <c r="K449" s="229">
        <v>213048</v>
      </c>
      <c r="L449" s="229">
        <v>186417</v>
      </c>
    </row>
    <row r="450" spans="2:12" s="247" customFormat="1" ht="22.8">
      <c r="B450" s="248"/>
      <c r="C450" s="248"/>
      <c r="D450" s="248"/>
      <c r="E450" s="248"/>
      <c r="F450" s="245" t="str">
        <f>'[1]Tntesagitakan (2)'!B310</f>
        <v xml:space="preserve"> 32001</v>
      </c>
      <c r="G450" s="234" t="s">
        <v>436</v>
      </c>
      <c r="H450" s="286">
        <f>H452</f>
        <v>931309.24</v>
      </c>
      <c r="I450" s="286">
        <f>I452</f>
        <v>500000</v>
      </c>
      <c r="J450" s="286">
        <f t="shared" ref="J450:L450" si="101">J452</f>
        <v>500000</v>
      </c>
      <c r="K450" s="286">
        <f t="shared" si="101"/>
        <v>2898759.8102254746</v>
      </c>
      <c r="L450" s="286">
        <f t="shared" si="101"/>
        <v>3795307.4374997769</v>
      </c>
    </row>
    <row r="451" spans="2:12">
      <c r="B451" s="232"/>
      <c r="C451" s="232"/>
      <c r="D451" s="232"/>
      <c r="E451" s="236"/>
      <c r="F451" s="237"/>
      <c r="G451" s="238" t="s">
        <v>66</v>
      </c>
      <c r="H451" s="229"/>
      <c r="I451" s="229"/>
      <c r="J451" s="239"/>
      <c r="K451" s="239"/>
      <c r="L451" s="239"/>
    </row>
    <row r="452" spans="2:12">
      <c r="B452" s="232"/>
      <c r="C452" s="232"/>
      <c r="D452" s="232"/>
      <c r="E452" s="236"/>
      <c r="F452" s="241"/>
      <c r="G452" s="242" t="s">
        <v>454</v>
      </c>
      <c r="H452" s="283">
        <f>H454</f>
        <v>931309.24</v>
      </c>
      <c r="I452" s="283">
        <f>I454</f>
        <v>500000</v>
      </c>
      <c r="J452" s="283">
        <f>J454</f>
        <v>500000</v>
      </c>
      <c r="K452" s="283">
        <f>K454</f>
        <v>2898759.8102254746</v>
      </c>
      <c r="L452" s="283">
        <f>L454</f>
        <v>3795307.4374997769</v>
      </c>
    </row>
    <row r="453" spans="2:12" ht="21.6">
      <c r="B453" s="232"/>
      <c r="C453" s="232"/>
      <c r="D453" s="232"/>
      <c r="E453" s="236"/>
      <c r="F453" s="241"/>
      <c r="G453" s="238" t="s">
        <v>455</v>
      </c>
      <c r="H453" s="286"/>
      <c r="I453" s="286"/>
      <c r="J453" s="286"/>
      <c r="K453" s="286"/>
      <c r="L453" s="286"/>
    </row>
    <row r="454" spans="2:12">
      <c r="B454" s="232"/>
      <c r="C454" s="232"/>
      <c r="D454" s="232"/>
      <c r="E454" s="236"/>
      <c r="F454" s="241"/>
      <c r="G454" s="238" t="s">
        <v>456</v>
      </c>
      <c r="H454" s="229">
        <f t="shared" ref="H454:L457" si="102">H455</f>
        <v>931309.24</v>
      </c>
      <c r="I454" s="229">
        <f t="shared" si="102"/>
        <v>500000</v>
      </c>
      <c r="J454" s="239">
        <f t="shared" si="102"/>
        <v>500000</v>
      </c>
      <c r="K454" s="239">
        <f t="shared" si="102"/>
        <v>2898759.8102254746</v>
      </c>
      <c r="L454" s="239">
        <f t="shared" si="102"/>
        <v>3795307.4374997769</v>
      </c>
    </row>
    <row r="455" spans="2:12">
      <c r="B455" s="232"/>
      <c r="C455" s="232"/>
      <c r="D455" s="232"/>
      <c r="E455" s="236"/>
      <c r="F455" s="241"/>
      <c r="G455" s="238" t="s">
        <v>1129</v>
      </c>
      <c r="H455" s="283">
        <f t="shared" si="102"/>
        <v>931309.24</v>
      </c>
      <c r="I455" s="283">
        <f t="shared" si="102"/>
        <v>500000</v>
      </c>
      <c r="J455" s="283">
        <f t="shared" si="102"/>
        <v>500000</v>
      </c>
      <c r="K455" s="283">
        <f t="shared" si="102"/>
        <v>2898759.8102254746</v>
      </c>
      <c r="L455" s="283">
        <f t="shared" si="102"/>
        <v>3795307.4374997769</v>
      </c>
    </row>
    <row r="456" spans="2:12">
      <c r="B456" s="232"/>
      <c r="C456" s="232"/>
      <c r="D456" s="232"/>
      <c r="E456" s="236"/>
      <c r="F456" s="241"/>
      <c r="G456" s="238" t="s">
        <v>458</v>
      </c>
      <c r="H456" s="283">
        <f t="shared" si="102"/>
        <v>931309.24</v>
      </c>
      <c r="I456" s="283">
        <f t="shared" si="102"/>
        <v>500000</v>
      </c>
      <c r="J456" s="283">
        <f t="shared" si="102"/>
        <v>500000</v>
      </c>
      <c r="K456" s="283">
        <f t="shared" si="102"/>
        <v>2898759.8102254746</v>
      </c>
      <c r="L456" s="283">
        <f t="shared" si="102"/>
        <v>3795307.4374997769</v>
      </c>
    </row>
    <row r="457" spans="2:12" ht="21.6">
      <c r="B457" s="232"/>
      <c r="C457" s="232"/>
      <c r="D457" s="232"/>
      <c r="E457" s="236"/>
      <c r="F457" s="241"/>
      <c r="G457" s="242" t="s">
        <v>489</v>
      </c>
      <c r="H457" s="229">
        <f t="shared" si="102"/>
        <v>931309.24</v>
      </c>
      <c r="I457" s="229">
        <f t="shared" si="102"/>
        <v>500000</v>
      </c>
      <c r="J457" s="239">
        <f t="shared" si="102"/>
        <v>500000</v>
      </c>
      <c r="K457" s="239">
        <f t="shared" si="102"/>
        <v>2898759.8102254746</v>
      </c>
      <c r="L457" s="239">
        <f t="shared" si="102"/>
        <v>3795307.4374997769</v>
      </c>
    </row>
    <row r="458" spans="2:12" s="59" customFormat="1" ht="21.6">
      <c r="B458" s="299"/>
      <c r="C458" s="299"/>
      <c r="D458" s="299"/>
      <c r="E458" s="300"/>
      <c r="F458" s="290"/>
      <c r="G458" s="238" t="s">
        <v>1130</v>
      </c>
      <c r="H458" s="283">
        <v>931309.24</v>
      </c>
      <c r="I458" s="283">
        <v>500000</v>
      </c>
      <c r="J458" s="283">
        <v>500000</v>
      </c>
      <c r="K458" s="283">
        <v>2898759.8102254746</v>
      </c>
      <c r="L458" s="283">
        <v>3795307.4374997769</v>
      </c>
    </row>
    <row r="459" spans="2:12" s="247" customFormat="1" ht="33.75" customHeight="1">
      <c r="B459" s="314" t="s">
        <v>531</v>
      </c>
      <c r="C459" s="310" t="s">
        <v>527</v>
      </c>
      <c r="D459" s="310" t="s">
        <v>527</v>
      </c>
      <c r="E459" s="312" t="str">
        <f>'[1]Tntesagitakan (2)'!A319</f>
        <v xml:space="preserve"> 1186</v>
      </c>
      <c r="F459" s="312"/>
      <c r="G459" s="313" t="s">
        <v>445</v>
      </c>
      <c r="H459" s="306">
        <f>H461</f>
        <v>40800.699999999997</v>
      </c>
      <c r="I459" s="306">
        <f t="shared" ref="I459:L459" si="103">I461</f>
        <v>40800.699999999997</v>
      </c>
      <c r="J459" s="306">
        <f t="shared" si="103"/>
        <v>40800.699999999997</v>
      </c>
      <c r="K459" s="306">
        <f t="shared" si="103"/>
        <v>40800.699999999997</v>
      </c>
      <c r="L459" s="306">
        <f t="shared" si="103"/>
        <v>40800.699999999997</v>
      </c>
    </row>
    <row r="460" spans="2:12" ht="19.5" customHeight="1">
      <c r="B460" s="226"/>
      <c r="C460" s="226"/>
      <c r="D460" s="226"/>
      <c r="E460" s="226"/>
      <c r="F460" s="227"/>
      <c r="G460" s="228" t="s">
        <v>497</v>
      </c>
      <c r="H460" s="229"/>
      <c r="I460" s="229"/>
      <c r="J460" s="239"/>
      <c r="K460" s="239"/>
      <c r="L460" s="239"/>
    </row>
    <row r="461" spans="2:12" ht="22.8">
      <c r="B461" s="232"/>
      <c r="C461" s="232"/>
      <c r="D461" s="232"/>
      <c r="E461" s="232"/>
      <c r="F461" s="237" t="str">
        <f>'[1]Tntesagitakan (2)'!B321</f>
        <v xml:space="preserve"> 11001</v>
      </c>
      <c r="G461" s="234" t="s">
        <v>445</v>
      </c>
      <c r="H461" s="286">
        <f>H463</f>
        <v>40800.699999999997</v>
      </c>
      <c r="I461" s="286">
        <f>I463</f>
        <v>40800.699999999997</v>
      </c>
      <c r="J461" s="286">
        <f>J463</f>
        <v>40800.699999999997</v>
      </c>
      <c r="K461" s="286">
        <f>K463</f>
        <v>40800.699999999997</v>
      </c>
      <c r="L461" s="286">
        <f>L463</f>
        <v>40800.699999999997</v>
      </c>
    </row>
    <row r="462" spans="2:12">
      <c r="B462" s="232"/>
      <c r="C462" s="232"/>
      <c r="D462" s="232"/>
      <c r="E462" s="236"/>
      <c r="F462" s="237"/>
      <c r="G462" s="238" t="s">
        <v>66</v>
      </c>
      <c r="H462" s="229"/>
      <c r="I462" s="229"/>
      <c r="J462" s="239"/>
      <c r="K462" s="239"/>
      <c r="L462" s="239"/>
    </row>
    <row r="463" spans="2:12">
      <c r="B463" s="232"/>
      <c r="C463" s="232"/>
      <c r="D463" s="232"/>
      <c r="E463" s="236"/>
      <c r="F463" s="241"/>
      <c r="G463" s="242" t="s">
        <v>454</v>
      </c>
      <c r="H463" s="283">
        <f>H465</f>
        <v>40800.699999999997</v>
      </c>
      <c r="I463" s="283">
        <f>I465</f>
        <v>40800.699999999997</v>
      </c>
      <c r="J463" s="283">
        <f>J465</f>
        <v>40800.699999999997</v>
      </c>
      <c r="K463" s="283">
        <f>K465</f>
        <v>40800.699999999997</v>
      </c>
      <c r="L463" s="283">
        <f>L465</f>
        <v>40800.699999999997</v>
      </c>
    </row>
    <row r="464" spans="2:12" ht="21.6">
      <c r="B464" s="232"/>
      <c r="C464" s="232"/>
      <c r="D464" s="232"/>
      <c r="E464" s="236"/>
      <c r="F464" s="241"/>
      <c r="G464" s="238" t="s">
        <v>455</v>
      </c>
      <c r="H464" s="286"/>
      <c r="I464" s="286"/>
      <c r="J464" s="286"/>
      <c r="K464" s="286"/>
      <c r="L464" s="286"/>
    </row>
    <row r="465" spans="2:12">
      <c r="B465" s="232"/>
      <c r="C465" s="232"/>
      <c r="D465" s="232"/>
      <c r="E465" s="236"/>
      <c r="F465" s="241"/>
      <c r="G465" s="238" t="s">
        <v>456</v>
      </c>
      <c r="H465" s="229">
        <f t="shared" ref="H465:L468" si="104">H466</f>
        <v>40800.699999999997</v>
      </c>
      <c r="I465" s="229">
        <f t="shared" si="104"/>
        <v>40800.699999999997</v>
      </c>
      <c r="J465" s="239">
        <f t="shared" si="104"/>
        <v>40800.699999999997</v>
      </c>
      <c r="K465" s="239">
        <f t="shared" si="104"/>
        <v>40800.699999999997</v>
      </c>
      <c r="L465" s="239">
        <f t="shared" si="104"/>
        <v>40800.699999999997</v>
      </c>
    </row>
    <row r="466" spans="2:12">
      <c r="B466" s="232"/>
      <c r="C466" s="232"/>
      <c r="D466" s="232"/>
      <c r="E466" s="236"/>
      <c r="F466" s="241"/>
      <c r="G466" s="242" t="s">
        <v>457</v>
      </c>
      <c r="H466" s="283">
        <f t="shared" si="104"/>
        <v>40800.699999999997</v>
      </c>
      <c r="I466" s="283">
        <f t="shared" si="104"/>
        <v>40800.699999999997</v>
      </c>
      <c r="J466" s="283">
        <f t="shared" si="104"/>
        <v>40800.699999999997</v>
      </c>
      <c r="K466" s="283">
        <f t="shared" si="104"/>
        <v>40800.699999999997</v>
      </c>
      <c r="L466" s="283">
        <f t="shared" si="104"/>
        <v>40800.699999999997</v>
      </c>
    </row>
    <row r="467" spans="2:12">
      <c r="B467" s="232"/>
      <c r="C467" s="232"/>
      <c r="D467" s="232"/>
      <c r="E467" s="236"/>
      <c r="F467" s="241"/>
      <c r="G467" s="238" t="s">
        <v>458</v>
      </c>
      <c r="H467" s="283">
        <f t="shared" si="104"/>
        <v>40800.699999999997</v>
      </c>
      <c r="I467" s="283">
        <f t="shared" si="104"/>
        <v>40800.699999999997</v>
      </c>
      <c r="J467" s="283">
        <f t="shared" si="104"/>
        <v>40800.699999999997</v>
      </c>
      <c r="K467" s="283">
        <f t="shared" si="104"/>
        <v>40800.699999999997</v>
      </c>
      <c r="L467" s="283">
        <f t="shared" si="104"/>
        <v>40800.699999999997</v>
      </c>
    </row>
    <row r="468" spans="2:12" ht="21.6">
      <c r="B468" s="232"/>
      <c r="C468" s="232"/>
      <c r="D468" s="232"/>
      <c r="E468" s="236"/>
      <c r="F468" s="241"/>
      <c r="G468" s="242" t="s">
        <v>459</v>
      </c>
      <c r="H468" s="229">
        <f t="shared" si="104"/>
        <v>40800.699999999997</v>
      </c>
      <c r="I468" s="229">
        <f t="shared" si="104"/>
        <v>40800.699999999997</v>
      </c>
      <c r="J468" s="239">
        <f t="shared" si="104"/>
        <v>40800.699999999997</v>
      </c>
      <c r="K468" s="239">
        <f t="shared" si="104"/>
        <v>40800.699999999997</v>
      </c>
      <c r="L468" s="239">
        <f t="shared" si="104"/>
        <v>40800.699999999997</v>
      </c>
    </row>
    <row r="469" spans="2:12" ht="30.75" customHeight="1">
      <c r="B469" s="287"/>
      <c r="C469" s="287"/>
      <c r="D469" s="287"/>
      <c r="E469" s="289"/>
      <c r="F469" s="244"/>
      <c r="G469" s="243" t="s">
        <v>460</v>
      </c>
      <c r="H469" s="283">
        <v>40800.699999999997</v>
      </c>
      <c r="I469" s="283">
        <v>40800.699999999997</v>
      </c>
      <c r="J469" s="283">
        <v>40800.699999999997</v>
      </c>
      <c r="K469" s="283">
        <v>40800.699999999997</v>
      </c>
      <c r="L469" s="283">
        <v>40800.699999999997</v>
      </c>
    </row>
  </sheetData>
  <mergeCells count="10">
    <mergeCell ref="F276:F277"/>
    <mergeCell ref="B1:L1"/>
    <mergeCell ref="B3:D3"/>
    <mergeCell ref="H3:H4"/>
    <mergeCell ref="I3:I4"/>
    <mergeCell ref="L3:L4"/>
    <mergeCell ref="K3:K4"/>
    <mergeCell ref="E3:F3"/>
    <mergeCell ref="G3:G4"/>
    <mergeCell ref="J3:J4"/>
  </mergeCells>
  <pageMargins left="0.28999999999999998" right="0.22" top="0.51" bottom="0.16" header="0.22" footer="0.16"/>
  <pageSetup paperSize="9" scale="78" fitToHeight="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M47"/>
  <sheetViews>
    <sheetView zoomScale="90" zoomScaleNormal="90" workbookViewId="0">
      <selection activeCell="D4" sqref="D4"/>
    </sheetView>
  </sheetViews>
  <sheetFormatPr defaultColWidth="9.109375" defaultRowHeight="10.8"/>
  <cols>
    <col min="1" max="1" width="8.5546875" style="416" customWidth="1"/>
    <col min="2" max="2" width="16.6640625" style="416" customWidth="1"/>
    <col min="3" max="3" width="66.6640625" style="416" customWidth="1"/>
    <col min="4" max="5" width="11.88671875" style="416" customWidth="1"/>
    <col min="6" max="11" width="10.6640625" style="416" customWidth="1"/>
    <col min="12" max="12" width="11.33203125" style="416" customWidth="1"/>
    <col min="13" max="15" width="10.6640625" style="416" customWidth="1"/>
    <col min="16" max="16" width="11.5546875" style="416" customWidth="1"/>
    <col min="17" max="17" width="12.109375" style="416" customWidth="1"/>
    <col min="18" max="20" width="10.6640625" style="416" customWidth="1"/>
    <col min="21" max="21" width="10.5546875" style="416" customWidth="1"/>
    <col min="22" max="27" width="10.6640625" style="416" customWidth="1"/>
    <col min="28" max="28" width="12.6640625" style="416" bestFit="1" customWidth="1"/>
    <col min="29" max="29" width="12.109375" style="416" bestFit="1" customWidth="1"/>
    <col min="30" max="30" width="10.33203125" style="416" bestFit="1" customWidth="1"/>
    <col min="31" max="39" width="10.6640625" style="416" customWidth="1"/>
    <col min="40" max="16384" width="9.109375" style="416"/>
  </cols>
  <sheetData>
    <row r="1" spans="1:39" s="400" customFormat="1" ht="50.25" customHeight="1" thickBot="1">
      <c r="A1" s="935" t="s">
        <v>44</v>
      </c>
      <c r="B1" s="935"/>
      <c r="C1" s="935"/>
      <c r="D1" s="398"/>
      <c r="E1" s="398"/>
      <c r="F1" s="399"/>
      <c r="G1" s="399"/>
      <c r="H1" s="399"/>
      <c r="I1" s="399"/>
      <c r="J1" s="399"/>
      <c r="K1" s="399"/>
      <c r="L1" s="399"/>
      <c r="M1" s="399"/>
      <c r="P1" s="401"/>
      <c r="Q1" s="399"/>
      <c r="R1" s="399"/>
      <c r="S1" s="399"/>
      <c r="T1" s="399"/>
      <c r="U1" s="399"/>
      <c r="V1" s="399"/>
      <c r="W1" s="399"/>
      <c r="X1" s="399"/>
      <c r="Y1" s="399"/>
      <c r="AB1" s="401"/>
      <c r="AC1" s="399"/>
      <c r="AD1" s="399"/>
      <c r="AE1" s="399"/>
      <c r="AF1" s="399"/>
      <c r="AG1" s="399"/>
      <c r="AH1" s="399"/>
      <c r="AI1" s="399"/>
      <c r="AJ1" s="399"/>
      <c r="AK1" s="399"/>
    </row>
    <row r="2" spans="1:39" s="402" customFormat="1" ht="15">
      <c r="A2" s="936" t="s">
        <v>5</v>
      </c>
      <c r="B2" s="937"/>
      <c r="C2" s="940" t="s">
        <v>670</v>
      </c>
      <c r="D2" s="932" t="s">
        <v>671</v>
      </c>
      <c r="E2" s="933"/>
      <c r="F2" s="933"/>
      <c r="G2" s="933"/>
      <c r="H2" s="933"/>
      <c r="I2" s="933"/>
      <c r="J2" s="933"/>
      <c r="K2" s="933"/>
      <c r="L2" s="933"/>
      <c r="M2" s="933"/>
      <c r="N2" s="933"/>
      <c r="O2" s="934"/>
      <c r="P2" s="932" t="s">
        <v>672</v>
      </c>
      <c r="Q2" s="933"/>
      <c r="R2" s="933"/>
      <c r="S2" s="933"/>
      <c r="T2" s="933"/>
      <c r="U2" s="933"/>
      <c r="V2" s="933"/>
      <c r="W2" s="933"/>
      <c r="X2" s="933"/>
      <c r="Y2" s="933"/>
      <c r="Z2" s="933"/>
      <c r="AA2" s="942"/>
      <c r="AB2" s="932" t="s">
        <v>673</v>
      </c>
      <c r="AC2" s="933"/>
      <c r="AD2" s="933"/>
      <c r="AE2" s="933"/>
      <c r="AF2" s="933"/>
      <c r="AG2" s="933"/>
      <c r="AH2" s="933"/>
      <c r="AI2" s="933"/>
      <c r="AJ2" s="933"/>
      <c r="AK2" s="933"/>
      <c r="AL2" s="933"/>
      <c r="AM2" s="934"/>
    </row>
    <row r="3" spans="1:39" s="408" customFormat="1" ht="84.75" customHeight="1" thickBot="1">
      <c r="A3" s="938"/>
      <c r="B3" s="939"/>
      <c r="C3" s="941"/>
      <c r="D3" s="403" t="s">
        <v>9</v>
      </c>
      <c r="E3" s="404" t="s">
        <v>674</v>
      </c>
      <c r="F3" s="404" t="s">
        <v>675</v>
      </c>
      <c r="G3" s="405" t="s">
        <v>676</v>
      </c>
      <c r="H3" s="404" t="s">
        <v>677</v>
      </c>
      <c r="I3" s="404" t="s">
        <v>678</v>
      </c>
      <c r="J3" s="404" t="s">
        <v>679</v>
      </c>
      <c r="K3" s="404" t="s">
        <v>680</v>
      </c>
      <c r="L3" s="404" t="s">
        <v>681</v>
      </c>
      <c r="M3" s="404" t="s">
        <v>682</v>
      </c>
      <c r="N3" s="404" t="s">
        <v>683</v>
      </c>
      <c r="O3" s="406" t="s">
        <v>684</v>
      </c>
      <c r="P3" s="403" t="s">
        <v>9</v>
      </c>
      <c r="Q3" s="404" t="s">
        <v>674</v>
      </c>
      <c r="R3" s="404" t="s">
        <v>675</v>
      </c>
      <c r="S3" s="405" t="s">
        <v>676</v>
      </c>
      <c r="T3" s="404" t="s">
        <v>677</v>
      </c>
      <c r="U3" s="404" t="s">
        <v>678</v>
      </c>
      <c r="V3" s="404" t="s">
        <v>679</v>
      </c>
      <c r="W3" s="404" t="s">
        <v>680</v>
      </c>
      <c r="X3" s="404" t="s">
        <v>681</v>
      </c>
      <c r="Y3" s="404" t="s">
        <v>682</v>
      </c>
      <c r="Z3" s="404" t="s">
        <v>683</v>
      </c>
      <c r="AA3" s="407" t="s">
        <v>684</v>
      </c>
      <c r="AB3" s="403" t="s">
        <v>9</v>
      </c>
      <c r="AC3" s="404" t="s">
        <v>674</v>
      </c>
      <c r="AD3" s="404" t="s">
        <v>675</v>
      </c>
      <c r="AE3" s="405" t="s">
        <v>676</v>
      </c>
      <c r="AF3" s="404" t="s">
        <v>677</v>
      </c>
      <c r="AG3" s="404" t="s">
        <v>678</v>
      </c>
      <c r="AH3" s="404" t="s">
        <v>679</v>
      </c>
      <c r="AI3" s="404" t="s">
        <v>680</v>
      </c>
      <c r="AJ3" s="404" t="s">
        <v>681</v>
      </c>
      <c r="AK3" s="404" t="s">
        <v>682</v>
      </c>
      <c r="AL3" s="404" t="s">
        <v>683</v>
      </c>
      <c r="AM3" s="406" t="s">
        <v>684</v>
      </c>
    </row>
    <row r="4" spans="1:39" ht="11.4">
      <c r="A4" s="409"/>
      <c r="B4" s="410"/>
      <c r="C4" s="411" t="s">
        <v>454</v>
      </c>
      <c r="D4" s="412">
        <f t="shared" ref="D4:AM4" si="0">D5+D16+D24+D26+D41+D46</f>
        <v>13081766.7119</v>
      </c>
      <c r="E4" s="413">
        <f t="shared" si="0"/>
        <v>5338566.5500808172</v>
      </c>
      <c r="F4" s="413">
        <f t="shared" si="0"/>
        <v>130153.32884366889</v>
      </c>
      <c r="G4" s="413">
        <f t="shared" si="0"/>
        <v>392756.87470412126</v>
      </c>
      <c r="H4" s="413">
        <f t="shared" si="0"/>
        <v>20199.32016714062</v>
      </c>
      <c r="I4" s="413">
        <f t="shared" si="0"/>
        <v>1312497.3778709914</v>
      </c>
      <c r="J4" s="413">
        <f t="shared" si="0"/>
        <v>711536.48371286842</v>
      </c>
      <c r="K4" s="413">
        <f t="shared" si="0"/>
        <v>1297661.9578072762</v>
      </c>
      <c r="L4" s="413">
        <f t="shared" si="0"/>
        <v>2414587.2949493285</v>
      </c>
      <c r="M4" s="413">
        <f t="shared" si="0"/>
        <v>134308.42939096992</v>
      </c>
      <c r="N4" s="413">
        <f t="shared" si="0"/>
        <v>163694.84785722898</v>
      </c>
      <c r="O4" s="414">
        <f t="shared" si="0"/>
        <v>1165804.2465155893</v>
      </c>
      <c r="P4" s="415">
        <f t="shared" si="0"/>
        <v>15699341.984000001</v>
      </c>
      <c r="Q4" s="413">
        <f t="shared" si="0"/>
        <v>7568352.1840000004</v>
      </c>
      <c r="R4" s="413">
        <f t="shared" si="0"/>
        <v>206249.2</v>
      </c>
      <c r="S4" s="413">
        <f t="shared" si="0"/>
        <v>411533</v>
      </c>
      <c r="T4" s="413">
        <f t="shared" si="0"/>
        <v>123468.9</v>
      </c>
      <c r="U4" s="413">
        <f t="shared" si="0"/>
        <v>1661768.8</v>
      </c>
      <c r="V4" s="413">
        <f t="shared" si="0"/>
        <v>880641</v>
      </c>
      <c r="W4" s="413">
        <f t="shared" si="0"/>
        <v>942865</v>
      </c>
      <c r="X4" s="413">
        <f t="shared" si="0"/>
        <v>1296858.1000000001</v>
      </c>
      <c r="Y4" s="413">
        <f t="shared" si="0"/>
        <v>285118.3</v>
      </c>
      <c r="Z4" s="413">
        <f t="shared" si="0"/>
        <v>292319.5</v>
      </c>
      <c r="AA4" s="414">
        <f t="shared" si="0"/>
        <v>2030168</v>
      </c>
      <c r="AB4" s="460">
        <f t="shared" si="0"/>
        <v>14427342.469573352</v>
      </c>
      <c r="AC4" s="413">
        <f t="shared" si="0"/>
        <v>11885807.240608813</v>
      </c>
      <c r="AD4" s="413">
        <f t="shared" si="0"/>
        <v>6080</v>
      </c>
      <c r="AE4" s="413">
        <f t="shared" si="0"/>
        <v>111787.9</v>
      </c>
      <c r="AF4" s="413">
        <f t="shared" si="0"/>
        <v>0</v>
      </c>
      <c r="AG4" s="413">
        <f t="shared" si="0"/>
        <v>748377.87631953997</v>
      </c>
      <c r="AH4" s="413">
        <f t="shared" si="0"/>
        <v>32848.699999999997</v>
      </c>
      <c r="AI4" s="413">
        <f t="shared" si="0"/>
        <v>653662.93400000001</v>
      </c>
      <c r="AJ4" s="413">
        <f t="shared" si="0"/>
        <v>122275.8</v>
      </c>
      <c r="AK4" s="413">
        <f t="shared" si="0"/>
        <v>11314</v>
      </c>
      <c r="AL4" s="413">
        <f t="shared" si="0"/>
        <v>65206.7</v>
      </c>
      <c r="AM4" s="414">
        <f t="shared" si="0"/>
        <v>61701</v>
      </c>
    </row>
    <row r="5" spans="1:39" ht="11.4">
      <c r="A5" s="417" t="s">
        <v>685</v>
      </c>
      <c r="B5" s="418"/>
      <c r="C5" s="419" t="s">
        <v>453</v>
      </c>
      <c r="D5" s="420">
        <f t="shared" ref="D5:AM5" si="1">SUM(D6:D15)</f>
        <v>2593372.6639999999</v>
      </c>
      <c r="E5" s="421">
        <f t="shared" si="1"/>
        <v>2444190.7400000002</v>
      </c>
      <c r="F5" s="421">
        <f t="shared" si="1"/>
        <v>0</v>
      </c>
      <c r="G5" s="421">
        <f t="shared" si="1"/>
        <v>22196.34</v>
      </c>
      <c r="H5" s="421">
        <f t="shared" si="1"/>
        <v>0</v>
      </c>
      <c r="I5" s="421">
        <f t="shared" si="1"/>
        <v>126985.584</v>
      </c>
      <c r="J5" s="421">
        <f t="shared" si="1"/>
        <v>0</v>
      </c>
      <c r="K5" s="421">
        <f t="shared" si="1"/>
        <v>0</v>
      </c>
      <c r="L5" s="421">
        <f t="shared" si="1"/>
        <v>0</v>
      </c>
      <c r="M5" s="421">
        <f t="shared" si="1"/>
        <v>0</v>
      </c>
      <c r="N5" s="421">
        <f t="shared" si="1"/>
        <v>0</v>
      </c>
      <c r="O5" s="422">
        <f t="shared" si="1"/>
        <v>0</v>
      </c>
      <c r="P5" s="423">
        <f t="shared" si="1"/>
        <v>4215628.8000000007</v>
      </c>
      <c r="Q5" s="421">
        <f t="shared" si="1"/>
        <v>3839849.9000000004</v>
      </c>
      <c r="R5" s="421">
        <f t="shared" si="1"/>
        <v>0</v>
      </c>
      <c r="S5" s="421">
        <f t="shared" si="1"/>
        <v>0</v>
      </c>
      <c r="T5" s="421">
        <f t="shared" si="1"/>
        <v>0</v>
      </c>
      <c r="U5" s="421">
        <f t="shared" si="1"/>
        <v>375778.9</v>
      </c>
      <c r="V5" s="421">
        <f t="shared" si="1"/>
        <v>0</v>
      </c>
      <c r="W5" s="421">
        <f t="shared" si="1"/>
        <v>0</v>
      </c>
      <c r="X5" s="421">
        <f t="shared" si="1"/>
        <v>0</v>
      </c>
      <c r="Y5" s="421">
        <f t="shared" si="1"/>
        <v>0</v>
      </c>
      <c r="Z5" s="421">
        <f t="shared" si="1"/>
        <v>0</v>
      </c>
      <c r="AA5" s="422">
        <f t="shared" si="1"/>
        <v>0</v>
      </c>
      <c r="AB5" s="423">
        <f t="shared" si="1"/>
        <v>3028107.8173195398</v>
      </c>
      <c r="AC5" s="421">
        <f t="shared" si="1"/>
        <v>2863036.841</v>
      </c>
      <c r="AD5" s="421">
        <f t="shared" si="1"/>
        <v>0</v>
      </c>
      <c r="AE5" s="421">
        <f t="shared" si="1"/>
        <v>0</v>
      </c>
      <c r="AF5" s="421">
        <f t="shared" si="1"/>
        <v>0</v>
      </c>
      <c r="AG5" s="421">
        <f t="shared" si="1"/>
        <v>165070.97631954</v>
      </c>
      <c r="AH5" s="421">
        <f t="shared" si="1"/>
        <v>0</v>
      </c>
      <c r="AI5" s="421">
        <f t="shared" si="1"/>
        <v>0</v>
      </c>
      <c r="AJ5" s="421">
        <f t="shared" si="1"/>
        <v>0</v>
      </c>
      <c r="AK5" s="421">
        <f t="shared" si="1"/>
        <v>0</v>
      </c>
      <c r="AL5" s="421">
        <f t="shared" si="1"/>
        <v>0</v>
      </c>
      <c r="AM5" s="422">
        <f t="shared" si="1"/>
        <v>0</v>
      </c>
    </row>
    <row r="6" spans="1:39" ht="11.4">
      <c r="A6" s="424"/>
      <c r="B6" s="425" t="s">
        <v>686</v>
      </c>
      <c r="C6" s="419" t="s">
        <v>351</v>
      </c>
      <c r="D6" s="447">
        <f>SUM(E6:O6)</f>
        <v>219678.24</v>
      </c>
      <c r="E6" s="427">
        <f>'Հ3 Մաս 1'!G15</f>
        <v>219678.24</v>
      </c>
      <c r="F6" s="428"/>
      <c r="G6" s="428"/>
      <c r="H6" s="428"/>
      <c r="I6" s="428"/>
      <c r="J6" s="428"/>
      <c r="K6" s="428"/>
      <c r="L6" s="428"/>
      <c r="M6" s="428"/>
      <c r="N6" s="428"/>
      <c r="O6" s="429"/>
      <c r="P6" s="434">
        <f>SUM(Q6:AA6)</f>
        <v>217255.8</v>
      </c>
      <c r="Q6" s="427">
        <f>'Հ4  '!I8</f>
        <v>217255.8</v>
      </c>
      <c r="R6" s="428"/>
      <c r="S6" s="428"/>
      <c r="T6" s="428"/>
      <c r="U6" s="428"/>
      <c r="V6" s="428"/>
      <c r="W6" s="428"/>
      <c r="X6" s="428"/>
      <c r="Y6" s="428"/>
      <c r="Z6" s="428"/>
      <c r="AA6" s="429"/>
      <c r="AB6" s="434">
        <f>SUM(AC6:AM6)</f>
        <v>217255.8</v>
      </c>
      <c r="AC6" s="427">
        <f>'Հ3 Մաս 1'!J15</f>
        <v>217255.8</v>
      </c>
      <c r="AD6" s="430"/>
      <c r="AE6" s="430"/>
      <c r="AF6" s="430"/>
      <c r="AG6" s="430"/>
      <c r="AH6" s="430"/>
      <c r="AI6" s="430"/>
      <c r="AJ6" s="430"/>
      <c r="AK6" s="430"/>
      <c r="AL6" s="430"/>
      <c r="AM6" s="431"/>
    </row>
    <row r="7" spans="1:39" ht="25.5" customHeight="1">
      <c r="A7" s="424"/>
      <c r="B7" s="425">
        <v>11003</v>
      </c>
      <c r="C7" s="419" t="s">
        <v>687</v>
      </c>
      <c r="D7" s="447">
        <f t="shared" ref="D7" si="2">SUM(E7:O7)</f>
        <v>22196.34</v>
      </c>
      <c r="E7" s="428"/>
      <c r="F7" s="428"/>
      <c r="G7" s="428">
        <f>'Հ3 Մաս 1'!G16</f>
        <v>22196.34</v>
      </c>
      <c r="H7" s="428"/>
      <c r="I7" s="428"/>
      <c r="J7" s="428"/>
      <c r="K7" s="428"/>
      <c r="L7" s="428"/>
      <c r="M7" s="428"/>
      <c r="N7" s="428"/>
      <c r="O7" s="429"/>
      <c r="P7" s="434">
        <f t="shared" ref="P7:P47" si="3">SUM(Q7:AA7)</f>
        <v>0</v>
      </c>
      <c r="Q7" s="428"/>
      <c r="R7" s="428"/>
      <c r="S7" s="428"/>
      <c r="T7" s="428"/>
      <c r="U7" s="428"/>
      <c r="V7" s="428"/>
      <c r="W7" s="428"/>
      <c r="X7" s="428"/>
      <c r="Y7" s="428"/>
      <c r="Z7" s="428"/>
      <c r="AA7" s="429"/>
      <c r="AB7" s="434">
        <f t="shared" ref="AB7:AB47" si="4">SUM(AC7:AM7)</f>
        <v>0</v>
      </c>
      <c r="AC7" s="427"/>
      <c r="AD7" s="430"/>
      <c r="AE7" s="430"/>
      <c r="AF7" s="430"/>
      <c r="AG7" s="430"/>
      <c r="AH7" s="430"/>
      <c r="AI7" s="430"/>
      <c r="AJ7" s="430"/>
      <c r="AK7" s="430"/>
      <c r="AL7" s="430"/>
      <c r="AM7" s="431"/>
    </row>
    <row r="8" spans="1:39" ht="25.5" customHeight="1">
      <c r="A8" s="424"/>
      <c r="B8" s="425" t="s">
        <v>688</v>
      </c>
      <c r="C8" s="419" t="s">
        <v>461</v>
      </c>
      <c r="D8" s="447">
        <f t="shared" ref="D8" si="5">SUM(E8:O8)</f>
        <v>1680617.6</v>
      </c>
      <c r="E8" s="427">
        <f>'Հ3 Մաս 1'!G17</f>
        <v>1680617.6</v>
      </c>
      <c r="F8" s="428"/>
      <c r="G8" s="428"/>
      <c r="H8" s="428"/>
      <c r="I8" s="428"/>
      <c r="J8" s="428"/>
      <c r="K8" s="428"/>
      <c r="L8" s="428"/>
      <c r="M8" s="428"/>
      <c r="N8" s="428"/>
      <c r="O8" s="429"/>
      <c r="P8" s="434">
        <f t="shared" ref="P8" si="6">SUM(Q8:AA8)</f>
        <v>1650941</v>
      </c>
      <c r="Q8" s="428">
        <f>'Հ3 Մաս 1'!H17</f>
        <v>1650941</v>
      </c>
      <c r="R8" s="428"/>
      <c r="S8" s="428"/>
      <c r="T8" s="428"/>
      <c r="U8" s="428"/>
      <c r="V8" s="428"/>
      <c r="W8" s="428"/>
      <c r="X8" s="428"/>
      <c r="Y8" s="428"/>
      <c r="Z8" s="428"/>
      <c r="AA8" s="429"/>
      <c r="AB8" s="434">
        <f t="shared" ref="AB8" si="7">SUM(AC8:AM8)</f>
        <v>1650941</v>
      </c>
      <c r="AC8" s="427">
        <f>'Հ3 Մաս 1'!J17</f>
        <v>1650941</v>
      </c>
      <c r="AD8" s="430"/>
      <c r="AE8" s="430"/>
      <c r="AF8" s="430"/>
      <c r="AG8" s="430"/>
      <c r="AH8" s="430"/>
      <c r="AI8" s="430"/>
      <c r="AJ8" s="430"/>
      <c r="AK8" s="430"/>
      <c r="AL8" s="430"/>
      <c r="AM8" s="431"/>
    </row>
    <row r="9" spans="1:39" ht="25.5" customHeight="1">
      <c r="A9" s="424"/>
      <c r="B9" s="425">
        <v>11005</v>
      </c>
      <c r="C9" s="419" t="s">
        <v>353</v>
      </c>
      <c r="D9" s="447">
        <f t="shared" ref="D9:D47" si="8">SUM(E9:O9)</f>
        <v>12685.5</v>
      </c>
      <c r="E9" s="427">
        <f>'Հ3 Մաս 1'!G18</f>
        <v>12685.5</v>
      </c>
      <c r="F9" s="428"/>
      <c r="G9" s="428"/>
      <c r="H9" s="428"/>
      <c r="I9" s="428"/>
      <c r="J9" s="428"/>
      <c r="K9" s="428"/>
      <c r="L9" s="428"/>
      <c r="M9" s="428"/>
      <c r="N9" s="428"/>
      <c r="O9" s="429"/>
      <c r="P9" s="434">
        <f t="shared" si="3"/>
        <v>0</v>
      </c>
      <c r="Q9" s="428"/>
      <c r="R9" s="428"/>
      <c r="S9" s="428"/>
      <c r="T9" s="428"/>
      <c r="U9" s="428"/>
      <c r="V9" s="428"/>
      <c r="W9" s="428"/>
      <c r="X9" s="428"/>
      <c r="Y9" s="428"/>
      <c r="Z9" s="428"/>
      <c r="AA9" s="429"/>
      <c r="AB9" s="450"/>
      <c r="AC9" s="430"/>
      <c r="AD9" s="430"/>
      <c r="AE9" s="430"/>
      <c r="AF9" s="430"/>
      <c r="AG9" s="430"/>
      <c r="AH9" s="430"/>
      <c r="AI9" s="430"/>
      <c r="AJ9" s="430"/>
      <c r="AK9" s="430"/>
      <c r="AL9" s="430"/>
      <c r="AM9" s="431"/>
    </row>
    <row r="10" spans="1:39" ht="25.5" customHeight="1">
      <c r="A10" s="424"/>
      <c r="B10" s="425" t="s">
        <v>689</v>
      </c>
      <c r="C10" s="419" t="s">
        <v>476</v>
      </c>
      <c r="D10" s="447">
        <f t="shared" si="8"/>
        <v>71481.19</v>
      </c>
      <c r="E10" s="427">
        <f>'Հ3 Մաս 1'!G19</f>
        <v>71481.19</v>
      </c>
      <c r="F10" s="428"/>
      <c r="G10" s="428"/>
      <c r="H10" s="428"/>
      <c r="I10" s="428"/>
      <c r="J10" s="428"/>
      <c r="K10" s="428"/>
      <c r="L10" s="428"/>
      <c r="M10" s="428"/>
      <c r="N10" s="428"/>
      <c r="O10" s="429"/>
      <c r="P10" s="434">
        <f t="shared" si="3"/>
        <v>22953</v>
      </c>
      <c r="Q10" s="428">
        <f>'Հ3 Մաս 1'!H19</f>
        <v>22953</v>
      </c>
      <c r="R10" s="428"/>
      <c r="S10" s="428"/>
      <c r="T10" s="428"/>
      <c r="U10" s="428"/>
      <c r="V10" s="428"/>
      <c r="W10" s="428"/>
      <c r="X10" s="428"/>
      <c r="Y10" s="428"/>
      <c r="Z10" s="428"/>
      <c r="AA10" s="429"/>
      <c r="AB10" s="434">
        <f t="shared" si="4"/>
        <v>0</v>
      </c>
      <c r="AC10" s="427"/>
      <c r="AD10" s="430"/>
      <c r="AE10" s="430"/>
      <c r="AF10" s="430"/>
      <c r="AG10" s="430"/>
      <c r="AH10" s="430"/>
      <c r="AI10" s="430"/>
      <c r="AJ10" s="430"/>
      <c r="AK10" s="430"/>
      <c r="AL10" s="430"/>
      <c r="AM10" s="431"/>
    </row>
    <row r="11" spans="1:39" ht="11.4">
      <c r="A11" s="424"/>
      <c r="B11" s="425" t="s">
        <v>690</v>
      </c>
      <c r="C11" s="419" t="s">
        <v>691</v>
      </c>
      <c r="D11" s="447">
        <f t="shared" si="8"/>
        <v>161528.21000000002</v>
      </c>
      <c r="E11" s="427">
        <f>'Հ3 Մաս 1'!G20</f>
        <v>161528.21000000002</v>
      </c>
      <c r="F11" s="428"/>
      <c r="G11" s="428"/>
      <c r="H11" s="428"/>
      <c r="I11" s="428"/>
      <c r="J11" s="428"/>
      <c r="K11" s="428"/>
      <c r="L11" s="428"/>
      <c r="M11" s="428"/>
      <c r="N11" s="428"/>
      <c r="O11" s="429"/>
      <c r="P11" s="434">
        <f t="shared" si="3"/>
        <v>1948700.1</v>
      </c>
      <c r="Q11" s="428">
        <f>'Հ3 Մաս 1'!H20</f>
        <v>1948700.1</v>
      </c>
      <c r="R11" s="428"/>
      <c r="S11" s="428"/>
      <c r="T11" s="428"/>
      <c r="U11" s="428"/>
      <c r="V11" s="428"/>
      <c r="W11" s="428"/>
      <c r="X11" s="428"/>
      <c r="Y11" s="428"/>
      <c r="Z11" s="428"/>
      <c r="AA11" s="429"/>
      <c r="AB11" s="434">
        <f t="shared" si="4"/>
        <v>994840.04100000008</v>
      </c>
      <c r="AC11" s="427">
        <f>'Հ3 Մաս 1'!J20</f>
        <v>994840.04100000008</v>
      </c>
      <c r="AD11" s="430"/>
      <c r="AE11" s="430"/>
      <c r="AF11" s="430"/>
      <c r="AG11" s="430"/>
      <c r="AH11" s="430"/>
      <c r="AI11" s="430"/>
      <c r="AJ11" s="430"/>
      <c r="AK11" s="430"/>
      <c r="AL11" s="430"/>
      <c r="AM11" s="431"/>
    </row>
    <row r="12" spans="1:39" ht="38.4" customHeight="1">
      <c r="A12" s="424"/>
      <c r="B12" s="425" t="s">
        <v>692</v>
      </c>
      <c r="C12" s="419" t="s">
        <v>693</v>
      </c>
      <c r="D12" s="447">
        <f>SUM(E12:O12)</f>
        <v>126985.584</v>
      </c>
      <c r="E12" s="427"/>
      <c r="F12" s="428"/>
      <c r="G12" s="428"/>
      <c r="H12" s="428"/>
      <c r="I12" s="427">
        <f>'Հ3 Մաս 1'!G21</f>
        <v>126985.584</v>
      </c>
      <c r="J12" s="428"/>
      <c r="K12" s="428"/>
      <c r="L12" s="428"/>
      <c r="M12" s="428"/>
      <c r="N12" s="428"/>
      <c r="O12" s="429"/>
      <c r="P12" s="434">
        <f t="shared" si="3"/>
        <v>248485.4</v>
      </c>
      <c r="Q12" s="428"/>
      <c r="R12" s="428"/>
      <c r="S12" s="428"/>
      <c r="T12" s="428"/>
      <c r="U12" s="428">
        <f>'Հ3 Մաս 1'!H21</f>
        <v>248485.4</v>
      </c>
      <c r="V12" s="428"/>
      <c r="W12" s="428"/>
      <c r="X12" s="428"/>
      <c r="Y12" s="428"/>
      <c r="Z12" s="428"/>
      <c r="AA12" s="429"/>
      <c r="AB12" s="434">
        <f t="shared" si="4"/>
        <v>124625.064</v>
      </c>
      <c r="AC12" s="427"/>
      <c r="AD12" s="430"/>
      <c r="AE12" s="430"/>
      <c r="AF12" s="430"/>
      <c r="AG12" s="427">
        <f>'Հ3 Մաս 1'!J21</f>
        <v>124625.064</v>
      </c>
      <c r="AH12" s="430"/>
      <c r="AI12" s="430"/>
      <c r="AJ12" s="430"/>
      <c r="AK12" s="430"/>
      <c r="AL12" s="430"/>
      <c r="AM12" s="431"/>
    </row>
    <row r="13" spans="1:39" ht="49.95" customHeight="1">
      <c r="A13" s="424"/>
      <c r="B13" s="425">
        <v>12002</v>
      </c>
      <c r="C13" s="419" t="s">
        <v>547</v>
      </c>
      <c r="D13" s="426">
        <f t="shared" ref="D13" si="9">SUM(E13:O13)</f>
        <v>0</v>
      </c>
      <c r="E13" s="427"/>
      <c r="F13" s="428"/>
      <c r="G13" s="428"/>
      <c r="H13" s="428"/>
      <c r="I13" s="428"/>
      <c r="J13" s="428"/>
      <c r="K13" s="428"/>
      <c r="L13" s="428"/>
      <c r="M13" s="428"/>
      <c r="N13" s="428"/>
      <c r="O13" s="429"/>
      <c r="P13" s="434">
        <f t="shared" si="3"/>
        <v>127293.5</v>
      </c>
      <c r="Q13" s="428"/>
      <c r="R13" s="428"/>
      <c r="S13" s="428"/>
      <c r="T13" s="428"/>
      <c r="U13" s="428">
        <f>'Հ3 Մաս 1'!H22</f>
        <v>127293.5</v>
      </c>
      <c r="V13" s="428"/>
      <c r="W13" s="428"/>
      <c r="X13" s="428"/>
      <c r="Y13" s="428"/>
      <c r="Z13" s="428"/>
      <c r="AA13" s="429"/>
      <c r="AB13" s="434">
        <f t="shared" si="4"/>
        <v>40445.912319540002</v>
      </c>
      <c r="AC13" s="430"/>
      <c r="AD13" s="430"/>
      <c r="AE13" s="430"/>
      <c r="AF13" s="430"/>
      <c r="AG13" s="430">
        <f>'Հ3 Մաս 1'!J22</f>
        <v>40445.912319540002</v>
      </c>
      <c r="AH13" s="430"/>
      <c r="AI13" s="430"/>
      <c r="AJ13" s="430"/>
      <c r="AK13" s="430"/>
      <c r="AL13" s="430"/>
      <c r="AM13" s="431"/>
    </row>
    <row r="14" spans="1:39" ht="26.4" customHeight="1">
      <c r="A14" s="424"/>
      <c r="B14" s="425">
        <v>32001</v>
      </c>
      <c r="C14" s="419" t="s">
        <v>358</v>
      </c>
      <c r="D14" s="426">
        <f t="shared" si="8"/>
        <v>0</v>
      </c>
      <c r="E14" s="427"/>
      <c r="F14" s="428"/>
      <c r="G14" s="428"/>
      <c r="H14" s="428"/>
      <c r="I14" s="428"/>
      <c r="J14" s="428"/>
      <c r="K14" s="428"/>
      <c r="L14" s="428"/>
      <c r="M14" s="428"/>
      <c r="N14" s="428"/>
      <c r="O14" s="429"/>
      <c r="P14" s="434">
        <f t="shared" si="3"/>
        <v>0</v>
      </c>
      <c r="Q14" s="428"/>
      <c r="R14" s="428"/>
      <c r="S14" s="428"/>
      <c r="T14" s="428"/>
      <c r="U14" s="428"/>
      <c r="V14" s="428"/>
      <c r="W14" s="428"/>
      <c r="X14" s="428"/>
      <c r="Y14" s="428"/>
      <c r="Z14" s="428"/>
      <c r="AA14" s="429"/>
      <c r="AB14" s="434">
        <f t="shared" si="4"/>
        <v>0</v>
      </c>
      <c r="AC14" s="430"/>
      <c r="AD14" s="430"/>
      <c r="AE14" s="430"/>
      <c r="AF14" s="430"/>
      <c r="AG14" s="430"/>
      <c r="AH14" s="430"/>
      <c r="AI14" s="430"/>
      <c r="AJ14" s="430"/>
      <c r="AK14" s="430"/>
      <c r="AL14" s="430"/>
      <c r="AM14" s="431"/>
    </row>
    <row r="15" spans="1:39" ht="38.25" customHeight="1">
      <c r="A15" s="424"/>
      <c r="B15" s="425">
        <v>32003</v>
      </c>
      <c r="C15" s="419" t="s">
        <v>378</v>
      </c>
      <c r="D15" s="447">
        <f t="shared" si="8"/>
        <v>298200</v>
      </c>
      <c r="E15" s="428">
        <f>'Հ3 Մաս 1'!G23</f>
        <v>298200</v>
      </c>
      <c r="F15" s="428"/>
      <c r="G15" s="428"/>
      <c r="H15" s="428"/>
      <c r="I15" s="428"/>
      <c r="J15" s="428"/>
      <c r="K15" s="428"/>
      <c r="L15" s="428"/>
      <c r="M15" s="428"/>
      <c r="N15" s="428"/>
      <c r="O15" s="429"/>
      <c r="P15" s="434">
        <f t="shared" si="3"/>
        <v>0</v>
      </c>
      <c r="Q15" s="428"/>
      <c r="R15" s="428"/>
      <c r="S15" s="428"/>
      <c r="T15" s="428"/>
      <c r="U15" s="428"/>
      <c r="V15" s="428"/>
      <c r="W15" s="428"/>
      <c r="X15" s="428"/>
      <c r="Y15" s="428"/>
      <c r="Z15" s="428"/>
      <c r="AA15" s="429"/>
      <c r="AB15" s="434">
        <f t="shared" si="4"/>
        <v>0</v>
      </c>
      <c r="AC15" s="430">
        <f>'Հ3 Մաս 1'!J23</f>
        <v>0</v>
      </c>
      <c r="AD15" s="430"/>
      <c r="AE15" s="430"/>
      <c r="AF15" s="430"/>
      <c r="AG15" s="430"/>
      <c r="AH15" s="430"/>
      <c r="AI15" s="430"/>
      <c r="AJ15" s="430"/>
      <c r="AK15" s="430"/>
      <c r="AL15" s="430"/>
      <c r="AM15" s="431"/>
    </row>
    <row r="16" spans="1:39" ht="25.5" customHeight="1">
      <c r="A16" s="432" t="s">
        <v>694</v>
      </c>
      <c r="B16" s="418"/>
      <c r="C16" s="419" t="s">
        <v>496</v>
      </c>
      <c r="D16" s="420">
        <f t="shared" ref="D16:AM16" si="10">SUM(D17:D23)</f>
        <v>6407216.0679000001</v>
      </c>
      <c r="E16" s="420">
        <f t="shared" si="10"/>
        <v>2278623.7300808164</v>
      </c>
      <c r="F16" s="420">
        <f t="shared" si="10"/>
        <v>75526.661843668888</v>
      </c>
      <c r="G16" s="420">
        <f t="shared" si="10"/>
        <v>197125.38470412121</v>
      </c>
      <c r="H16" s="420">
        <f t="shared" si="10"/>
        <v>10149.32016714062</v>
      </c>
      <c r="I16" s="420">
        <f t="shared" si="10"/>
        <v>516508.63387099153</v>
      </c>
      <c r="J16" s="420">
        <f t="shared" si="10"/>
        <v>550976.78371286846</v>
      </c>
      <c r="K16" s="420">
        <f t="shared" si="10"/>
        <v>147723.85180727622</v>
      </c>
      <c r="L16" s="420">
        <f t="shared" si="10"/>
        <v>1318021.4449493287</v>
      </c>
      <c r="M16" s="420">
        <f t="shared" si="10"/>
        <v>84681.762390969903</v>
      </c>
      <c r="N16" s="420">
        <f t="shared" si="10"/>
        <v>115905.14785722898</v>
      </c>
      <c r="O16" s="420">
        <f t="shared" si="10"/>
        <v>1111973.3465155894</v>
      </c>
      <c r="P16" s="420">
        <f t="shared" si="10"/>
        <v>8276520.0840000007</v>
      </c>
      <c r="Q16" s="420">
        <f t="shared" si="10"/>
        <v>2675191.3840000001</v>
      </c>
      <c r="R16" s="420">
        <f t="shared" si="10"/>
        <v>202949.2</v>
      </c>
      <c r="S16" s="420">
        <f t="shared" si="10"/>
        <v>241926.3</v>
      </c>
      <c r="T16" s="420">
        <f t="shared" si="10"/>
        <v>62968.9</v>
      </c>
      <c r="U16" s="420">
        <f t="shared" si="10"/>
        <v>597301</v>
      </c>
      <c r="V16" s="420">
        <f t="shared" si="10"/>
        <v>872281.3</v>
      </c>
      <c r="W16" s="420">
        <f t="shared" si="10"/>
        <v>283162.40000000002</v>
      </c>
      <c r="X16" s="420">
        <f t="shared" si="10"/>
        <v>851439.5</v>
      </c>
      <c r="Y16" s="420">
        <f t="shared" si="10"/>
        <v>285118.3</v>
      </c>
      <c r="Z16" s="420">
        <f t="shared" si="10"/>
        <v>235714.8</v>
      </c>
      <c r="AA16" s="420">
        <f t="shared" si="10"/>
        <v>1968467</v>
      </c>
      <c r="AB16" s="420">
        <f t="shared" si="10"/>
        <v>8145306.4996088129</v>
      </c>
      <c r="AC16" s="420">
        <f t="shared" si="10"/>
        <v>8082058.4996088129</v>
      </c>
      <c r="AD16" s="420">
        <f t="shared" si="10"/>
        <v>6080</v>
      </c>
      <c r="AE16" s="420">
        <f t="shared" si="10"/>
        <v>0</v>
      </c>
      <c r="AF16" s="420">
        <f t="shared" si="10"/>
        <v>0</v>
      </c>
      <c r="AG16" s="420">
        <f t="shared" si="10"/>
        <v>0</v>
      </c>
      <c r="AH16" s="420">
        <f t="shared" si="10"/>
        <v>28460</v>
      </c>
      <c r="AI16" s="420">
        <f t="shared" si="10"/>
        <v>0</v>
      </c>
      <c r="AJ16" s="420">
        <f t="shared" si="10"/>
        <v>0</v>
      </c>
      <c r="AK16" s="420">
        <f t="shared" si="10"/>
        <v>11314</v>
      </c>
      <c r="AL16" s="420">
        <f t="shared" si="10"/>
        <v>17394</v>
      </c>
      <c r="AM16" s="420">
        <f t="shared" si="10"/>
        <v>0</v>
      </c>
    </row>
    <row r="17" spans="1:39" ht="25.5" customHeight="1">
      <c r="A17" s="424"/>
      <c r="B17" s="419" t="s">
        <v>686</v>
      </c>
      <c r="C17" s="419" t="s">
        <v>370</v>
      </c>
      <c r="D17" s="435">
        <f t="shared" si="8"/>
        <v>1252982.8443</v>
      </c>
      <c r="E17" s="427">
        <f>'Հ3 Մաս 1'!G25</f>
        <v>1252982.8443</v>
      </c>
      <c r="F17" s="428"/>
      <c r="G17" s="428"/>
      <c r="H17" s="428"/>
      <c r="I17" s="428"/>
      <c r="J17" s="428"/>
      <c r="K17" s="428"/>
      <c r="L17" s="428"/>
      <c r="M17" s="428"/>
      <c r="N17" s="428"/>
      <c r="O17" s="429"/>
      <c r="P17" s="434">
        <f t="shared" si="3"/>
        <v>1148786.1840000001</v>
      </c>
      <c r="Q17" s="428">
        <f>'Հ3 Մաս 1'!H25</f>
        <v>1148786.1840000001</v>
      </c>
      <c r="R17" s="428"/>
      <c r="S17" s="428"/>
      <c r="T17" s="428"/>
      <c r="U17" s="428"/>
      <c r="V17" s="428"/>
      <c r="W17" s="428"/>
      <c r="X17" s="428"/>
      <c r="Y17" s="428"/>
      <c r="Z17" s="428"/>
      <c r="AA17" s="429"/>
      <c r="AB17" s="434">
        <f t="shared" si="4"/>
        <v>1279443.8829000001</v>
      </c>
      <c r="AC17" s="427">
        <f>'Հ3 Մաս 1'!J25</f>
        <v>1279443.8829000001</v>
      </c>
      <c r="AD17" s="430"/>
      <c r="AE17" s="430"/>
      <c r="AF17" s="430"/>
      <c r="AG17" s="430"/>
      <c r="AH17" s="430"/>
      <c r="AI17" s="430"/>
      <c r="AJ17" s="430"/>
      <c r="AK17" s="430"/>
      <c r="AL17" s="430"/>
      <c r="AM17" s="431"/>
    </row>
    <row r="18" spans="1:39" ht="11.4">
      <c r="A18" s="424"/>
      <c r="B18" s="419" t="s">
        <v>695</v>
      </c>
      <c r="C18" s="419" t="s">
        <v>512</v>
      </c>
      <c r="D18" s="435">
        <f t="shared" si="8"/>
        <v>104878.844</v>
      </c>
      <c r="E18" s="427">
        <f>'Հ3 Մաս 1'!G26</f>
        <v>104878.844</v>
      </c>
      <c r="F18" s="428"/>
      <c r="G18" s="428"/>
      <c r="H18" s="428"/>
      <c r="I18" s="428"/>
      <c r="J18" s="428"/>
      <c r="K18" s="428"/>
      <c r="L18" s="428"/>
      <c r="M18" s="428"/>
      <c r="N18" s="428"/>
      <c r="O18" s="429"/>
      <c r="P18" s="434">
        <f t="shared" si="3"/>
        <v>105442</v>
      </c>
      <c r="Q18" s="428">
        <f>'Հ3 Մաս 1'!H26</f>
        <v>105442</v>
      </c>
      <c r="R18" s="428"/>
      <c r="S18" s="428"/>
      <c r="T18" s="428"/>
      <c r="U18" s="428"/>
      <c r="V18" s="428"/>
      <c r="W18" s="428"/>
      <c r="X18" s="428"/>
      <c r="Y18" s="428"/>
      <c r="Z18" s="428"/>
      <c r="AA18" s="429"/>
      <c r="AB18" s="434">
        <f t="shared" si="4"/>
        <v>107588.29999999999</v>
      </c>
      <c r="AC18" s="427">
        <f>'Հ3 Մաս 1'!J26</f>
        <v>107588.29999999999</v>
      </c>
      <c r="AD18" s="430"/>
      <c r="AE18" s="430"/>
      <c r="AF18" s="430"/>
      <c r="AG18" s="430"/>
      <c r="AH18" s="430"/>
      <c r="AI18" s="430"/>
      <c r="AJ18" s="430"/>
      <c r="AK18" s="430"/>
      <c r="AL18" s="430"/>
      <c r="AM18" s="431"/>
    </row>
    <row r="19" spans="1:39" s="436" customFormat="1" ht="13.95" customHeight="1">
      <c r="A19" s="424"/>
      <c r="B19" s="419">
        <v>11003</v>
      </c>
      <c r="C19" s="419" t="s">
        <v>696</v>
      </c>
      <c r="D19" s="435">
        <f t="shared" si="8"/>
        <v>3761701</v>
      </c>
      <c r="E19" s="427">
        <v>831122.76218081627</v>
      </c>
      <c r="F19" s="428">
        <v>75526.661843668888</v>
      </c>
      <c r="G19" s="428">
        <v>197125.38470412121</v>
      </c>
      <c r="H19" s="428">
        <v>10149.32016714062</v>
      </c>
      <c r="I19" s="428">
        <v>346250.83387099154</v>
      </c>
      <c r="J19" s="428">
        <v>550976.78371286846</v>
      </c>
      <c r="K19" s="428">
        <v>132822.85180727622</v>
      </c>
      <c r="L19" s="428">
        <v>776411.44494932867</v>
      </c>
      <c r="M19" s="428">
        <v>84681.762390969903</v>
      </c>
      <c r="N19" s="428">
        <v>115905.14785722898</v>
      </c>
      <c r="O19" s="429">
        <v>640728.04651558946</v>
      </c>
      <c r="P19" s="434">
        <f t="shared" si="3"/>
        <v>5680741.9000000004</v>
      </c>
      <c r="Q19" s="428">
        <v>420963.2</v>
      </c>
      <c r="R19" s="428">
        <v>202949.2</v>
      </c>
      <c r="S19" s="428">
        <v>241926.3</v>
      </c>
      <c r="T19" s="428">
        <v>62968.9</v>
      </c>
      <c r="U19" s="428">
        <v>597301</v>
      </c>
      <c r="V19" s="428">
        <v>872281.3</v>
      </c>
      <c r="W19" s="428">
        <v>208162.4</v>
      </c>
      <c r="X19" s="428">
        <v>851439.5</v>
      </c>
      <c r="Y19" s="428">
        <v>285118.3</v>
      </c>
      <c r="Z19" s="428">
        <v>235714.8</v>
      </c>
      <c r="AA19" s="429">
        <v>1701917</v>
      </c>
      <c r="AB19" s="423">
        <f t="shared" si="4"/>
        <v>6671538.3167088125</v>
      </c>
      <c r="AC19" s="753">
        <v>6671538.3167088125</v>
      </c>
      <c r="AD19" s="753"/>
      <c r="AE19" s="753"/>
      <c r="AF19" s="753"/>
      <c r="AG19" s="753"/>
      <c r="AH19" s="753"/>
      <c r="AI19" s="753"/>
      <c r="AJ19" s="753"/>
      <c r="AK19" s="753"/>
      <c r="AL19" s="753"/>
      <c r="AM19" s="754"/>
    </row>
    <row r="20" spans="1:39" ht="25.5" customHeight="1">
      <c r="A20" s="424"/>
      <c r="B20" s="419" t="s">
        <v>697</v>
      </c>
      <c r="C20" s="419" t="s">
        <v>658</v>
      </c>
      <c r="D20" s="433">
        <f t="shared" si="8"/>
        <v>0</v>
      </c>
      <c r="E20" s="428"/>
      <c r="F20" s="428"/>
      <c r="G20" s="428"/>
      <c r="H20" s="428"/>
      <c r="I20" s="428"/>
      <c r="J20" s="428"/>
      <c r="K20" s="428"/>
      <c r="L20" s="428"/>
      <c r="M20" s="428"/>
      <c r="N20" s="428"/>
      <c r="O20" s="429"/>
      <c r="P20" s="434">
        <f t="shared" si="3"/>
        <v>1000000</v>
      </c>
      <c r="Q20" s="428">
        <f>'Հ3 Մաս 1'!H28</f>
        <v>1000000</v>
      </c>
      <c r="R20" s="428"/>
      <c r="S20" s="428"/>
      <c r="T20" s="428"/>
      <c r="U20" s="428"/>
      <c r="V20" s="428"/>
      <c r="W20" s="428"/>
      <c r="X20" s="428"/>
      <c r="Y20" s="428"/>
      <c r="Z20" s="428"/>
      <c r="AA20" s="429"/>
      <c r="AB20" s="434">
        <f t="shared" si="4"/>
        <v>0</v>
      </c>
      <c r="AC20" s="427"/>
      <c r="AD20" s="430"/>
      <c r="AE20" s="430"/>
      <c r="AF20" s="430"/>
      <c r="AG20" s="430"/>
      <c r="AH20" s="430"/>
      <c r="AI20" s="430"/>
      <c r="AJ20" s="430"/>
      <c r="AK20" s="430"/>
      <c r="AL20" s="430"/>
      <c r="AM20" s="431"/>
    </row>
    <row r="21" spans="1:39" ht="25.5" customHeight="1">
      <c r="A21" s="424"/>
      <c r="B21" s="419" t="s">
        <v>698</v>
      </c>
      <c r="C21" s="419" t="s">
        <v>513</v>
      </c>
      <c r="D21" s="435">
        <f t="shared" si="8"/>
        <v>18228.579600000001</v>
      </c>
      <c r="E21" s="427">
        <f>'Հ3 Մաս 1'!G29</f>
        <v>18228.579600000001</v>
      </c>
      <c r="F21" s="428"/>
      <c r="G21" s="428"/>
      <c r="H21" s="428"/>
      <c r="I21" s="428"/>
      <c r="J21" s="428"/>
      <c r="K21" s="428"/>
      <c r="L21" s="428"/>
      <c r="M21" s="428"/>
      <c r="N21" s="428"/>
      <c r="O21" s="429"/>
      <c r="P21" s="434">
        <f t="shared" si="3"/>
        <v>0</v>
      </c>
      <c r="Q21" s="428"/>
      <c r="R21" s="428"/>
      <c r="S21" s="428"/>
      <c r="T21" s="428"/>
      <c r="U21" s="428"/>
      <c r="V21" s="428"/>
      <c r="W21" s="428"/>
      <c r="X21" s="428"/>
      <c r="Y21" s="428"/>
      <c r="Z21" s="428"/>
      <c r="AA21" s="429"/>
      <c r="AB21" s="434">
        <f t="shared" si="4"/>
        <v>10000</v>
      </c>
      <c r="AC21" s="430">
        <f>'Հ3 Մաս 1'!J29</f>
        <v>10000</v>
      </c>
      <c r="AD21" s="430"/>
      <c r="AE21" s="430"/>
      <c r="AF21" s="430"/>
      <c r="AG21" s="430"/>
      <c r="AH21" s="430"/>
      <c r="AI21" s="430"/>
      <c r="AJ21" s="430"/>
      <c r="AK21" s="430"/>
      <c r="AL21" s="430"/>
      <c r="AM21" s="431"/>
    </row>
    <row r="22" spans="1:39" s="436" customFormat="1" ht="13.2">
      <c r="A22" s="424"/>
      <c r="B22" s="419">
        <v>31002</v>
      </c>
      <c r="C22" s="419" t="s">
        <v>699</v>
      </c>
      <c r="D22" s="435">
        <f t="shared" si="8"/>
        <v>1269424.8</v>
      </c>
      <c r="E22" s="428">
        <v>71410.7</v>
      </c>
      <c r="F22" s="428"/>
      <c r="G22" s="428"/>
      <c r="H22" s="428"/>
      <c r="I22" s="428">
        <v>170257.8</v>
      </c>
      <c r="J22" s="428"/>
      <c r="K22" s="428">
        <v>14901</v>
      </c>
      <c r="L22" s="428">
        <v>541610</v>
      </c>
      <c r="M22" s="428"/>
      <c r="N22" s="428"/>
      <c r="O22" s="429">
        <v>471245.3</v>
      </c>
      <c r="P22" s="434">
        <f t="shared" si="3"/>
        <v>0</v>
      </c>
      <c r="Q22" s="428"/>
      <c r="R22" s="428"/>
      <c r="S22" s="428"/>
      <c r="T22" s="428"/>
      <c r="U22" s="428"/>
      <c r="V22" s="428"/>
      <c r="W22" s="428"/>
      <c r="X22" s="428"/>
      <c r="Y22" s="428"/>
      <c r="Z22" s="428"/>
      <c r="AA22" s="429"/>
      <c r="AB22" s="437">
        <f t="shared" si="4"/>
        <v>76736</v>
      </c>
      <c r="AC22" s="430">
        <v>13488</v>
      </c>
      <c r="AD22" s="430">
        <v>6080</v>
      </c>
      <c r="AE22" s="430"/>
      <c r="AF22" s="430"/>
      <c r="AG22" s="430"/>
      <c r="AH22" s="430">
        <v>28460</v>
      </c>
      <c r="AI22" s="430"/>
      <c r="AJ22" s="430"/>
      <c r="AK22" s="430">
        <v>11314</v>
      </c>
      <c r="AL22" s="430">
        <v>17394</v>
      </c>
      <c r="AM22" s="431"/>
    </row>
    <row r="23" spans="1:39" s="436" customFormat="1" ht="13.2">
      <c r="A23" s="424"/>
      <c r="B23" s="419" t="s">
        <v>700</v>
      </c>
      <c r="C23" s="419" t="s">
        <v>701</v>
      </c>
      <c r="D23" s="433">
        <f>SUM(E23:O23)</f>
        <v>0</v>
      </c>
      <c r="E23" s="428"/>
      <c r="F23" s="428"/>
      <c r="G23" s="428"/>
      <c r="H23" s="428"/>
      <c r="I23" s="428"/>
      <c r="J23" s="428"/>
      <c r="K23" s="428"/>
      <c r="L23" s="428"/>
      <c r="M23" s="428"/>
      <c r="N23" s="428"/>
      <c r="O23" s="429"/>
      <c r="P23" s="434">
        <f>SUM(Q23:AA23)</f>
        <v>341550</v>
      </c>
      <c r="Q23" s="427"/>
      <c r="R23" s="430"/>
      <c r="S23" s="430"/>
      <c r="T23" s="430"/>
      <c r="U23" s="430"/>
      <c r="V23" s="430"/>
      <c r="W23" s="430">
        <v>75000</v>
      </c>
      <c r="X23" s="430"/>
      <c r="Y23" s="430"/>
      <c r="Z23" s="430"/>
      <c r="AA23" s="431">
        <v>266550</v>
      </c>
      <c r="AB23" s="437">
        <f>SUM(AC23:AM23)</f>
        <v>0</v>
      </c>
      <c r="AC23" s="427"/>
      <c r="AD23" s="430"/>
      <c r="AE23" s="430"/>
      <c r="AF23" s="430"/>
      <c r="AG23" s="430"/>
      <c r="AH23" s="430"/>
      <c r="AI23" s="430"/>
      <c r="AJ23" s="430"/>
      <c r="AK23" s="430"/>
      <c r="AL23" s="430"/>
      <c r="AM23" s="431"/>
    </row>
    <row r="24" spans="1:39" ht="11.4">
      <c r="A24" s="432" t="s">
        <v>702</v>
      </c>
      <c r="B24" s="418"/>
      <c r="C24" s="419" t="s">
        <v>516</v>
      </c>
      <c r="D24" s="420">
        <f>D25</f>
        <v>846471.82000000007</v>
      </c>
      <c r="E24" s="421">
        <f t="shared" ref="E24:O24" si="11">E25</f>
        <v>100503.58</v>
      </c>
      <c r="F24" s="421">
        <f t="shared" si="11"/>
        <v>5000</v>
      </c>
      <c r="G24" s="421">
        <f t="shared" si="11"/>
        <v>61647.25</v>
      </c>
      <c r="H24" s="421">
        <f t="shared" si="11"/>
        <v>10050</v>
      </c>
      <c r="I24" s="421">
        <f t="shared" si="11"/>
        <v>0</v>
      </c>
      <c r="J24" s="421">
        <f t="shared" si="11"/>
        <v>156171</v>
      </c>
      <c r="K24" s="421">
        <f t="shared" si="11"/>
        <v>36402.5</v>
      </c>
      <c r="L24" s="421">
        <f t="shared" si="11"/>
        <v>476239.79000000004</v>
      </c>
      <c r="M24" s="421">
        <f t="shared" si="11"/>
        <v>0</v>
      </c>
      <c r="N24" s="421">
        <f t="shared" si="11"/>
        <v>457.7</v>
      </c>
      <c r="O24" s="422">
        <f t="shared" si="11"/>
        <v>0</v>
      </c>
      <c r="P24" s="423">
        <f>P25</f>
        <v>685960.89999999991</v>
      </c>
      <c r="Q24" s="421">
        <f>Q25</f>
        <v>144156.4</v>
      </c>
      <c r="R24" s="421">
        <f t="shared" ref="R24:AA24" si="12">R25</f>
        <v>3300</v>
      </c>
      <c r="S24" s="421">
        <f t="shared" si="12"/>
        <v>57818.8</v>
      </c>
      <c r="T24" s="421">
        <f t="shared" si="12"/>
        <v>60500</v>
      </c>
      <c r="U24" s="421">
        <f t="shared" si="12"/>
        <v>40377</v>
      </c>
      <c r="V24" s="421">
        <f t="shared" si="12"/>
        <v>3971</v>
      </c>
      <c r="W24" s="421">
        <f t="shared" si="12"/>
        <v>43902.899999999994</v>
      </c>
      <c r="X24" s="421">
        <f t="shared" si="12"/>
        <v>323142.8</v>
      </c>
      <c r="Y24" s="421">
        <f t="shared" si="12"/>
        <v>0</v>
      </c>
      <c r="Z24" s="421">
        <f t="shared" si="12"/>
        <v>8792</v>
      </c>
      <c r="AA24" s="422">
        <f t="shared" si="12"/>
        <v>0</v>
      </c>
      <c r="AB24" s="423">
        <f>AB25</f>
        <v>728280.31864499999</v>
      </c>
      <c r="AC24" s="421">
        <f>AC25</f>
        <v>0</v>
      </c>
      <c r="AD24" s="430"/>
      <c r="AE24" s="430"/>
      <c r="AF24" s="430"/>
      <c r="AG24" s="430"/>
      <c r="AH24" s="430"/>
      <c r="AI24" s="430"/>
      <c r="AJ24" s="430"/>
      <c r="AK24" s="430"/>
      <c r="AL24" s="430"/>
      <c r="AM24" s="431"/>
    </row>
    <row r="25" spans="1:39" ht="11.4">
      <c r="A25" s="424"/>
      <c r="B25" s="425" t="s">
        <v>703</v>
      </c>
      <c r="C25" s="419" t="s">
        <v>387</v>
      </c>
      <c r="D25" s="433">
        <f>SUM(E25:O25)</f>
        <v>846471.82000000007</v>
      </c>
      <c r="E25" s="427">
        <v>100503.58</v>
      </c>
      <c r="F25" s="428">
        <v>5000</v>
      </c>
      <c r="G25" s="428">
        <f>61647.25</f>
        <v>61647.25</v>
      </c>
      <c r="H25" s="428">
        <v>10050</v>
      </c>
      <c r="I25" s="428"/>
      <c r="J25" s="428">
        <f>155341+830</f>
        <v>156171</v>
      </c>
      <c r="K25" s="428">
        <f>10012.6+23313+3076.9</f>
        <v>36402.5</v>
      </c>
      <c r="L25" s="428">
        <f>170837.56+70157.96+235244.27</f>
        <v>476239.79000000004</v>
      </c>
      <c r="M25" s="428"/>
      <c r="N25" s="428">
        <f>157.5+300.2</f>
        <v>457.7</v>
      </c>
      <c r="O25" s="429"/>
      <c r="P25" s="434">
        <f>SUM(Q25:AA25)</f>
        <v>685960.89999999991</v>
      </c>
      <c r="Q25" s="428">
        <v>144156.4</v>
      </c>
      <c r="R25" s="428">
        <v>3300</v>
      </c>
      <c r="S25" s="428">
        <v>57818.8</v>
      </c>
      <c r="T25" s="428">
        <v>60500</v>
      </c>
      <c r="U25" s="428">
        <v>40377</v>
      </c>
      <c r="V25" s="428">
        <v>3971</v>
      </c>
      <c r="W25" s="428">
        <v>43902.899999999994</v>
      </c>
      <c r="X25" s="428">
        <v>323142.8</v>
      </c>
      <c r="Y25" s="428"/>
      <c r="Z25" s="428">
        <v>8792</v>
      </c>
      <c r="AA25" s="429"/>
      <c r="AB25" s="434">
        <f>SUM(AC25:AM25)</f>
        <v>728280.31864499999</v>
      </c>
      <c r="AC25" s="427"/>
      <c r="AD25" s="430">
        <v>8503.5</v>
      </c>
      <c r="AE25" s="430">
        <v>60452.5147</v>
      </c>
      <c r="AF25" s="430">
        <v>30193.052000000003</v>
      </c>
      <c r="AG25" s="430">
        <v>8987.3050000000003</v>
      </c>
      <c r="AH25" s="430">
        <v>70396.146840000016</v>
      </c>
      <c r="AI25" s="430">
        <v>11965.314</v>
      </c>
      <c r="AJ25" s="430">
        <v>522615.576</v>
      </c>
      <c r="AK25" s="430">
        <v>538.31799999999998</v>
      </c>
      <c r="AL25" s="430">
        <v>10740.216945</v>
      </c>
      <c r="AM25" s="431">
        <v>3888.3751600000005</v>
      </c>
    </row>
    <row r="26" spans="1:39" ht="11.4">
      <c r="A26" s="432" t="s">
        <v>704</v>
      </c>
      <c r="B26" s="418"/>
      <c r="C26" s="419" t="s">
        <v>517</v>
      </c>
      <c r="D26" s="420">
        <f t="shared" ref="D26:P26" si="13">SUM(D27:D40)</f>
        <v>1639268.42</v>
      </c>
      <c r="E26" s="420">
        <f t="shared" si="13"/>
        <v>0</v>
      </c>
      <c r="F26" s="420">
        <f t="shared" si="13"/>
        <v>0</v>
      </c>
      <c r="G26" s="420">
        <f t="shared" si="13"/>
        <v>111787.9</v>
      </c>
      <c r="H26" s="420">
        <f t="shared" si="13"/>
        <v>0</v>
      </c>
      <c r="I26" s="420">
        <f t="shared" si="13"/>
        <v>669003.15999999992</v>
      </c>
      <c r="J26" s="420">
        <f t="shared" si="13"/>
        <v>4388.7</v>
      </c>
      <c r="K26" s="420">
        <f t="shared" si="13"/>
        <v>132599.70000000001</v>
      </c>
      <c r="L26" s="420">
        <f t="shared" si="13"/>
        <v>620326.06000000006</v>
      </c>
      <c r="M26" s="420">
        <f t="shared" si="13"/>
        <v>0</v>
      </c>
      <c r="N26" s="420">
        <f t="shared" si="13"/>
        <v>47332</v>
      </c>
      <c r="O26" s="420">
        <f t="shared" si="13"/>
        <v>53830.9</v>
      </c>
      <c r="P26" s="423">
        <f t="shared" si="13"/>
        <v>1112077.7</v>
      </c>
      <c r="Q26" s="421">
        <f t="shared" ref="Q26:AA26" si="14">SUM(Q28:Q40)</f>
        <v>0</v>
      </c>
      <c r="R26" s="421">
        <f t="shared" si="14"/>
        <v>0</v>
      </c>
      <c r="S26" s="421">
        <f t="shared" si="14"/>
        <v>111787.9</v>
      </c>
      <c r="T26" s="421">
        <f t="shared" si="14"/>
        <v>0</v>
      </c>
      <c r="U26" s="421">
        <f t="shared" si="14"/>
        <v>648311.9</v>
      </c>
      <c r="V26" s="421">
        <f t="shared" si="14"/>
        <v>4388.7</v>
      </c>
      <c r="W26" s="421">
        <f t="shared" si="14"/>
        <v>115799.7</v>
      </c>
      <c r="X26" s="421">
        <f t="shared" si="14"/>
        <v>122275.8</v>
      </c>
      <c r="Y26" s="421">
        <f t="shared" si="14"/>
        <v>0</v>
      </c>
      <c r="Z26" s="421">
        <f t="shared" si="14"/>
        <v>47812.7</v>
      </c>
      <c r="AA26" s="422">
        <f t="shared" si="14"/>
        <v>61701</v>
      </c>
      <c r="AB26" s="423">
        <f>SUM(AB27:AB40)</f>
        <v>1116493.3339999998</v>
      </c>
      <c r="AC26" s="421">
        <f t="shared" ref="AC26:AM26" si="15">SUM(AC28:AC40)</f>
        <v>31557.4</v>
      </c>
      <c r="AD26" s="421">
        <f t="shared" si="15"/>
        <v>0</v>
      </c>
      <c r="AE26" s="421">
        <f t="shared" si="15"/>
        <v>111787.9</v>
      </c>
      <c r="AF26" s="421">
        <f t="shared" si="15"/>
        <v>0</v>
      </c>
      <c r="AG26" s="421">
        <f t="shared" si="15"/>
        <v>583306.9</v>
      </c>
      <c r="AH26" s="421">
        <f t="shared" si="15"/>
        <v>4388.7</v>
      </c>
      <c r="AI26" s="421">
        <f t="shared" si="15"/>
        <v>153662.93400000001</v>
      </c>
      <c r="AJ26" s="421">
        <f t="shared" si="15"/>
        <v>122275.8</v>
      </c>
      <c r="AK26" s="421">
        <f t="shared" si="15"/>
        <v>0</v>
      </c>
      <c r="AL26" s="421">
        <f t="shared" si="15"/>
        <v>47812.7</v>
      </c>
      <c r="AM26" s="422">
        <f t="shared" si="15"/>
        <v>61701</v>
      </c>
    </row>
    <row r="27" spans="1:39" ht="54">
      <c r="A27" s="424"/>
      <c r="B27" s="425">
        <v>11001</v>
      </c>
      <c r="C27" s="419" t="s">
        <v>705</v>
      </c>
      <c r="D27" s="435">
        <f t="shared" ref="D27:D28" si="16">SUM(E27:O27)</f>
        <v>94434.75</v>
      </c>
      <c r="E27" s="428"/>
      <c r="F27" s="428"/>
      <c r="G27" s="428"/>
      <c r="H27" s="428"/>
      <c r="I27" s="428"/>
      <c r="J27" s="428"/>
      <c r="K27" s="428"/>
      <c r="L27" s="427">
        <v>94434.75</v>
      </c>
      <c r="M27" s="428"/>
      <c r="N27" s="428"/>
      <c r="O27" s="429"/>
      <c r="P27" s="434">
        <f t="shared" ref="P27:P28" si="17">SUM(Q27:AA27)</f>
        <v>0</v>
      </c>
      <c r="Q27" s="428"/>
      <c r="R27" s="428"/>
      <c r="S27" s="428"/>
      <c r="T27" s="428"/>
      <c r="U27" s="428"/>
      <c r="V27" s="428"/>
      <c r="W27" s="428"/>
      <c r="X27" s="428"/>
      <c r="Y27" s="428"/>
      <c r="Z27" s="428"/>
      <c r="AA27" s="429"/>
      <c r="AB27" s="434">
        <f t="shared" ref="AB27:AB28" si="18">SUM(AC27:AM27)</f>
        <v>0</v>
      </c>
      <c r="AC27" s="430"/>
      <c r="AD27" s="430"/>
      <c r="AE27" s="430"/>
      <c r="AF27" s="430"/>
      <c r="AG27" s="430"/>
      <c r="AH27" s="430"/>
      <c r="AI27" s="430"/>
      <c r="AJ27" s="430"/>
      <c r="AK27" s="430"/>
      <c r="AL27" s="430"/>
      <c r="AM27" s="431"/>
    </row>
    <row r="28" spans="1:39" ht="11.4">
      <c r="A28" s="424"/>
      <c r="B28" s="425" t="s">
        <v>706</v>
      </c>
      <c r="C28" s="419" t="s">
        <v>397</v>
      </c>
      <c r="D28" s="435">
        <f t="shared" si="16"/>
        <v>24723.360000000001</v>
      </c>
      <c r="E28" s="427"/>
      <c r="F28" s="428"/>
      <c r="G28" s="428"/>
      <c r="H28" s="428"/>
      <c r="I28" s="427">
        <v>24723.360000000001</v>
      </c>
      <c r="J28" s="428"/>
      <c r="K28" s="428"/>
      <c r="L28" s="428"/>
      <c r="M28" s="428"/>
      <c r="N28" s="428"/>
      <c r="O28" s="429"/>
      <c r="P28" s="434">
        <f t="shared" si="17"/>
        <v>15452.2</v>
      </c>
      <c r="Q28" s="428"/>
      <c r="R28" s="428"/>
      <c r="S28" s="428"/>
      <c r="T28" s="428"/>
      <c r="U28" s="428">
        <v>15452.2</v>
      </c>
      <c r="V28" s="428"/>
      <c r="W28" s="428"/>
      <c r="X28" s="428"/>
      <c r="Y28" s="428"/>
      <c r="Z28" s="428"/>
      <c r="AA28" s="429"/>
      <c r="AB28" s="434">
        <f t="shared" si="18"/>
        <v>15452.2</v>
      </c>
      <c r="AC28" s="427"/>
      <c r="AD28" s="430"/>
      <c r="AE28" s="430"/>
      <c r="AF28" s="430"/>
      <c r="AG28" s="427">
        <v>15452.2</v>
      </c>
      <c r="AH28" s="430"/>
      <c r="AI28" s="430"/>
      <c r="AJ28" s="430"/>
      <c r="AK28" s="430"/>
      <c r="AL28" s="430"/>
      <c r="AM28" s="431"/>
    </row>
    <row r="29" spans="1:39" ht="11.4">
      <c r="A29" s="424"/>
      <c r="B29" s="425" t="s">
        <v>688</v>
      </c>
      <c r="C29" s="419" t="s">
        <v>398</v>
      </c>
      <c r="D29" s="435">
        <f t="shared" si="8"/>
        <v>148579.79999999999</v>
      </c>
      <c r="E29" s="427"/>
      <c r="F29" s="428"/>
      <c r="G29" s="428"/>
      <c r="H29" s="428"/>
      <c r="I29" s="427">
        <v>148579.79999999999</v>
      </c>
      <c r="J29" s="428"/>
      <c r="K29" s="428"/>
      <c r="L29" s="428"/>
      <c r="M29" s="428"/>
      <c r="N29" s="428"/>
      <c r="O29" s="429"/>
      <c r="P29" s="434">
        <f t="shared" si="3"/>
        <v>165088.70000000001</v>
      </c>
      <c r="Q29" s="428"/>
      <c r="R29" s="428"/>
      <c r="S29" s="428"/>
      <c r="T29" s="428"/>
      <c r="U29" s="428">
        <v>165088.70000000001</v>
      </c>
      <c r="V29" s="428"/>
      <c r="W29" s="428"/>
      <c r="X29" s="428"/>
      <c r="Y29" s="428"/>
      <c r="Z29" s="428"/>
      <c r="AA29" s="429"/>
      <c r="AB29" s="434">
        <f t="shared" si="4"/>
        <v>127103.7</v>
      </c>
      <c r="AC29" s="427"/>
      <c r="AD29" s="430"/>
      <c r="AE29" s="430"/>
      <c r="AF29" s="430"/>
      <c r="AG29" s="427">
        <v>127103.7</v>
      </c>
      <c r="AH29" s="430"/>
      <c r="AI29" s="430"/>
      <c r="AJ29" s="430"/>
      <c r="AK29" s="430"/>
      <c r="AL29" s="430"/>
      <c r="AM29" s="431"/>
    </row>
    <row r="30" spans="1:39" ht="11.4">
      <c r="A30" s="424"/>
      <c r="B30" s="425" t="s">
        <v>697</v>
      </c>
      <c r="C30" s="419" t="s">
        <v>707</v>
      </c>
      <c r="D30" s="435">
        <f t="shared" si="8"/>
        <v>53830.9</v>
      </c>
      <c r="E30" s="427"/>
      <c r="F30" s="428"/>
      <c r="G30" s="428"/>
      <c r="H30" s="428"/>
      <c r="I30" s="428"/>
      <c r="J30" s="428"/>
      <c r="K30" s="428"/>
      <c r="L30" s="428"/>
      <c r="M30" s="428"/>
      <c r="N30" s="428"/>
      <c r="O30" s="438">
        <v>53830.9</v>
      </c>
      <c r="P30" s="434">
        <f t="shared" si="3"/>
        <v>61701</v>
      </c>
      <c r="Q30" s="428"/>
      <c r="R30" s="428"/>
      <c r="S30" s="428"/>
      <c r="T30" s="428"/>
      <c r="U30" s="428"/>
      <c r="V30" s="428"/>
      <c r="W30" s="428"/>
      <c r="X30" s="428"/>
      <c r="Y30" s="428"/>
      <c r="Z30" s="428"/>
      <c r="AA30" s="429">
        <v>61701</v>
      </c>
      <c r="AB30" s="434">
        <f t="shared" si="4"/>
        <v>61701</v>
      </c>
      <c r="AC30" s="427"/>
      <c r="AD30" s="430"/>
      <c r="AE30" s="430"/>
      <c r="AF30" s="430"/>
      <c r="AG30" s="430"/>
      <c r="AH30" s="430"/>
      <c r="AI30" s="430"/>
      <c r="AJ30" s="430"/>
      <c r="AK30" s="430"/>
      <c r="AL30" s="430"/>
      <c r="AM30" s="438">
        <v>61701</v>
      </c>
    </row>
    <row r="31" spans="1:39" ht="25.5" customHeight="1">
      <c r="A31" s="424"/>
      <c r="B31" s="425" t="s">
        <v>689</v>
      </c>
      <c r="C31" s="419" t="s">
        <v>708</v>
      </c>
      <c r="D31" s="435">
        <f t="shared" si="8"/>
        <v>115799.7</v>
      </c>
      <c r="E31" s="427"/>
      <c r="F31" s="428"/>
      <c r="G31" s="428"/>
      <c r="H31" s="428"/>
      <c r="I31" s="428"/>
      <c r="J31" s="428"/>
      <c r="K31" s="427">
        <v>115799.7</v>
      </c>
      <c r="L31" s="428"/>
      <c r="M31" s="428"/>
      <c r="N31" s="428"/>
      <c r="O31" s="429"/>
      <c r="P31" s="434">
        <f t="shared" si="3"/>
        <v>115799.7</v>
      </c>
      <c r="Q31" s="428"/>
      <c r="R31" s="428"/>
      <c r="S31" s="428"/>
      <c r="T31" s="428"/>
      <c r="U31" s="428"/>
      <c r="V31" s="428"/>
      <c r="W31" s="428">
        <f>'Հ3 Մաս 1'!H39</f>
        <v>115799.7</v>
      </c>
      <c r="X31" s="428"/>
      <c r="Y31" s="428"/>
      <c r="Z31" s="428"/>
      <c r="AA31" s="429"/>
      <c r="AB31" s="434">
        <f t="shared" si="4"/>
        <v>153662.93400000001</v>
      </c>
      <c r="AC31" s="427"/>
      <c r="AD31" s="430"/>
      <c r="AE31" s="430"/>
      <c r="AF31" s="430"/>
      <c r="AG31" s="430"/>
      <c r="AH31" s="430"/>
      <c r="AI31" s="427">
        <f>'Հ3 Մաս 1'!J39</f>
        <v>153662.93400000001</v>
      </c>
      <c r="AJ31" s="430"/>
      <c r="AK31" s="430"/>
      <c r="AL31" s="430"/>
      <c r="AM31" s="431"/>
    </row>
    <row r="32" spans="1:39" ht="11.4">
      <c r="A32" s="424"/>
      <c r="B32" s="425" t="s">
        <v>709</v>
      </c>
      <c r="C32" s="419" t="s">
        <v>710</v>
      </c>
      <c r="D32" s="435">
        <f>SUM(E32:O32)</f>
        <v>111787.9</v>
      </c>
      <c r="E32" s="427"/>
      <c r="F32" s="428"/>
      <c r="G32" s="427">
        <v>111787.9</v>
      </c>
      <c r="H32" s="428"/>
      <c r="I32" s="428"/>
      <c r="J32" s="428"/>
      <c r="K32" s="428"/>
      <c r="L32" s="428"/>
      <c r="M32" s="428"/>
      <c r="N32" s="428"/>
      <c r="O32" s="429"/>
      <c r="P32" s="434">
        <f>SUM(Q32:AA32)</f>
        <v>111787.9</v>
      </c>
      <c r="Q32" s="428"/>
      <c r="R32" s="428"/>
      <c r="S32" s="428">
        <v>111787.9</v>
      </c>
      <c r="T32" s="428"/>
      <c r="U32" s="428"/>
      <c r="V32" s="428"/>
      <c r="W32" s="428"/>
      <c r="X32" s="428"/>
      <c r="Y32" s="428"/>
      <c r="Z32" s="428"/>
      <c r="AA32" s="429"/>
      <c r="AB32" s="434">
        <f t="shared" si="4"/>
        <v>111787.9</v>
      </c>
      <c r="AC32" s="427"/>
      <c r="AD32" s="430"/>
      <c r="AE32" s="427">
        <v>111787.9</v>
      </c>
      <c r="AF32" s="430"/>
      <c r="AG32" s="430"/>
      <c r="AH32" s="430"/>
      <c r="AI32" s="430"/>
      <c r="AJ32" s="430"/>
      <c r="AK32" s="430"/>
      <c r="AL32" s="430"/>
      <c r="AM32" s="431"/>
    </row>
    <row r="33" spans="1:39" ht="11.4">
      <c r="A33" s="424"/>
      <c r="B33" s="425" t="s">
        <v>520</v>
      </c>
      <c r="C33" s="419" t="s">
        <v>711</v>
      </c>
      <c r="D33" s="435">
        <f t="shared" si="8"/>
        <v>47332</v>
      </c>
      <c r="E33" s="427"/>
      <c r="F33" s="428"/>
      <c r="G33" s="428"/>
      <c r="H33" s="428"/>
      <c r="I33" s="428"/>
      <c r="J33" s="428"/>
      <c r="K33" s="428"/>
      <c r="L33" s="428"/>
      <c r="M33" s="428"/>
      <c r="N33" s="427">
        <v>47332</v>
      </c>
      <c r="O33" s="429"/>
      <c r="P33" s="434">
        <f t="shared" si="3"/>
        <v>47812.7</v>
      </c>
      <c r="Q33" s="428"/>
      <c r="R33" s="428"/>
      <c r="S33" s="428"/>
      <c r="T33" s="428"/>
      <c r="U33" s="428"/>
      <c r="V33" s="428"/>
      <c r="W33" s="428"/>
      <c r="X33" s="428"/>
      <c r="Y33" s="428"/>
      <c r="Z33" s="428">
        <v>47812.7</v>
      </c>
      <c r="AA33" s="429"/>
      <c r="AB33" s="434">
        <f t="shared" si="4"/>
        <v>47812.7</v>
      </c>
      <c r="AC33" s="427"/>
      <c r="AD33" s="430"/>
      <c r="AE33" s="430"/>
      <c r="AF33" s="430"/>
      <c r="AG33" s="430"/>
      <c r="AH33" s="430"/>
      <c r="AI33" s="430"/>
      <c r="AJ33" s="430"/>
      <c r="AK33" s="430"/>
      <c r="AL33" s="427">
        <v>47812.7</v>
      </c>
      <c r="AM33" s="431"/>
    </row>
    <row r="34" spans="1:39" ht="25.5" customHeight="1">
      <c r="A34" s="424"/>
      <c r="B34" s="425" t="s">
        <v>692</v>
      </c>
      <c r="C34" s="419" t="s">
        <v>712</v>
      </c>
      <c r="D34" s="435">
        <f t="shared" si="8"/>
        <v>119476.9</v>
      </c>
      <c r="E34" s="427"/>
      <c r="F34" s="428"/>
      <c r="G34" s="428"/>
      <c r="H34" s="428"/>
      <c r="I34" s="428"/>
      <c r="J34" s="428"/>
      <c r="K34" s="428"/>
      <c r="L34" s="427">
        <v>119476.9</v>
      </c>
      <c r="M34" s="428"/>
      <c r="N34" s="428"/>
      <c r="O34" s="429"/>
      <c r="P34" s="434">
        <f t="shared" si="3"/>
        <v>122275.8</v>
      </c>
      <c r="Q34" s="428"/>
      <c r="R34" s="428"/>
      <c r="S34" s="428"/>
      <c r="T34" s="428"/>
      <c r="U34" s="428"/>
      <c r="V34" s="428"/>
      <c r="W34" s="428"/>
      <c r="X34" s="428">
        <v>122275.8</v>
      </c>
      <c r="Y34" s="428"/>
      <c r="Z34" s="428"/>
      <c r="AA34" s="429"/>
      <c r="AB34" s="434">
        <f t="shared" si="4"/>
        <v>122275.8</v>
      </c>
      <c r="AC34" s="427"/>
      <c r="AD34" s="430"/>
      <c r="AE34" s="430"/>
      <c r="AF34" s="430"/>
      <c r="AG34" s="430"/>
      <c r="AH34" s="430"/>
      <c r="AI34" s="430"/>
      <c r="AJ34" s="430">
        <v>122275.8</v>
      </c>
      <c r="AK34" s="430"/>
      <c r="AL34" s="430"/>
      <c r="AM34" s="431"/>
    </row>
    <row r="35" spans="1:39" ht="11.4">
      <c r="A35" s="424"/>
      <c r="B35" s="425" t="s">
        <v>713</v>
      </c>
      <c r="C35" s="419" t="s">
        <v>521</v>
      </c>
      <c r="D35" s="435">
        <f t="shared" si="8"/>
        <v>4388.7</v>
      </c>
      <c r="E35" s="427"/>
      <c r="F35" s="428"/>
      <c r="G35" s="428"/>
      <c r="H35" s="428"/>
      <c r="I35" s="428"/>
      <c r="J35" s="427">
        <v>4388.7</v>
      </c>
      <c r="K35" s="428"/>
      <c r="L35" s="428"/>
      <c r="M35" s="428"/>
      <c r="N35" s="428"/>
      <c r="O35" s="429"/>
      <c r="P35" s="434">
        <f t="shared" si="3"/>
        <v>4388.7</v>
      </c>
      <c r="Q35" s="428"/>
      <c r="R35" s="428"/>
      <c r="S35" s="428"/>
      <c r="T35" s="428"/>
      <c r="U35" s="428"/>
      <c r="V35" s="428">
        <v>4388.7</v>
      </c>
      <c r="W35" s="428"/>
      <c r="X35" s="428"/>
      <c r="Y35" s="428"/>
      <c r="Z35" s="428"/>
      <c r="AA35" s="429"/>
      <c r="AB35" s="434">
        <f t="shared" si="4"/>
        <v>4388.7</v>
      </c>
      <c r="AC35" s="427"/>
      <c r="AD35" s="430"/>
      <c r="AE35" s="430"/>
      <c r="AF35" s="430"/>
      <c r="AG35" s="430"/>
      <c r="AH35" s="427">
        <v>4388.7</v>
      </c>
      <c r="AI35" s="430"/>
      <c r="AJ35" s="430"/>
      <c r="AK35" s="430"/>
      <c r="AL35" s="430"/>
      <c r="AM35" s="431"/>
    </row>
    <row r="36" spans="1:39" ht="25.5" customHeight="1">
      <c r="A36" s="424"/>
      <c r="B36" s="425" t="s">
        <v>714</v>
      </c>
      <c r="C36" s="419" t="s">
        <v>409</v>
      </c>
      <c r="D36" s="435">
        <f t="shared" si="8"/>
        <v>495700</v>
      </c>
      <c r="E36" s="427"/>
      <c r="F36" s="428"/>
      <c r="G36" s="428"/>
      <c r="H36" s="428"/>
      <c r="I36" s="427">
        <v>495700</v>
      </c>
      <c r="J36" s="428"/>
      <c r="K36" s="428"/>
      <c r="L36" s="428"/>
      <c r="M36" s="428"/>
      <c r="N36" s="428"/>
      <c r="O36" s="429"/>
      <c r="P36" s="434">
        <f t="shared" si="3"/>
        <v>467771</v>
      </c>
      <c r="Q36" s="428"/>
      <c r="R36" s="428"/>
      <c r="S36" s="428"/>
      <c r="T36" s="428"/>
      <c r="U36" s="428">
        <v>467771</v>
      </c>
      <c r="V36" s="428"/>
      <c r="W36" s="428"/>
      <c r="X36" s="428"/>
      <c r="Y36" s="428"/>
      <c r="Z36" s="428"/>
      <c r="AA36" s="429"/>
      <c r="AB36" s="434">
        <f t="shared" si="4"/>
        <v>440751</v>
      </c>
      <c r="AC36" s="427"/>
      <c r="AD36" s="430"/>
      <c r="AE36" s="430"/>
      <c r="AF36" s="430"/>
      <c r="AG36" s="427">
        <v>440751</v>
      </c>
      <c r="AH36" s="430"/>
      <c r="AI36" s="430"/>
      <c r="AJ36" s="430"/>
      <c r="AK36" s="430"/>
      <c r="AL36" s="430"/>
      <c r="AM36" s="431"/>
    </row>
    <row r="37" spans="1:39" ht="75" customHeight="1">
      <c r="A37" s="424"/>
      <c r="B37" s="425">
        <v>32001</v>
      </c>
      <c r="C37" s="419" t="s">
        <v>715</v>
      </c>
      <c r="D37" s="435">
        <f t="shared" si="8"/>
        <v>406414.41000000003</v>
      </c>
      <c r="E37" s="427"/>
      <c r="F37" s="428"/>
      <c r="G37" s="428"/>
      <c r="H37" s="428"/>
      <c r="I37" s="428"/>
      <c r="J37" s="428"/>
      <c r="K37" s="428"/>
      <c r="L37" s="427">
        <v>406414.41000000003</v>
      </c>
      <c r="M37" s="428"/>
      <c r="N37" s="428"/>
      <c r="O37" s="429"/>
      <c r="P37" s="434">
        <f t="shared" si="3"/>
        <v>0</v>
      </c>
      <c r="Q37" s="428"/>
      <c r="R37" s="428"/>
      <c r="S37" s="428"/>
      <c r="T37" s="428"/>
      <c r="U37" s="428"/>
      <c r="V37" s="428"/>
      <c r="W37" s="428"/>
      <c r="X37" s="428"/>
      <c r="Y37" s="428"/>
      <c r="Z37" s="428"/>
      <c r="AA37" s="429"/>
      <c r="AB37" s="434">
        <f>SUM(AC37:AM37)</f>
        <v>0</v>
      </c>
      <c r="AC37" s="430"/>
      <c r="AD37" s="430"/>
      <c r="AE37" s="430"/>
      <c r="AF37" s="430"/>
      <c r="AG37" s="430"/>
      <c r="AH37" s="427"/>
      <c r="AI37" s="430"/>
      <c r="AJ37" s="430"/>
      <c r="AK37" s="430"/>
      <c r="AL37" s="430"/>
      <c r="AM37" s="431"/>
    </row>
    <row r="38" spans="1:39" ht="18" customHeight="1">
      <c r="A38" s="424"/>
      <c r="B38" s="425">
        <v>32002</v>
      </c>
      <c r="C38" s="419" t="s">
        <v>525</v>
      </c>
      <c r="D38" s="435">
        <f t="shared" ref="D38:D40" si="19">SUM(E38:O38)</f>
        <v>16800</v>
      </c>
      <c r="E38" s="428"/>
      <c r="F38" s="428"/>
      <c r="G38" s="428"/>
      <c r="H38" s="428"/>
      <c r="I38" s="428"/>
      <c r="J38" s="428"/>
      <c r="K38" s="428">
        <v>16800</v>
      </c>
      <c r="L38" s="428"/>
      <c r="M38" s="428"/>
      <c r="N38" s="428"/>
      <c r="O38" s="429"/>
      <c r="P38" s="434">
        <f t="shared" ref="P38:P39" si="20">SUM(Q38:AA38)</f>
        <v>0</v>
      </c>
      <c r="Q38" s="428"/>
      <c r="R38" s="428"/>
      <c r="S38" s="428"/>
      <c r="T38" s="428"/>
      <c r="U38" s="428"/>
      <c r="V38" s="428"/>
      <c r="W38" s="428"/>
      <c r="X38" s="428"/>
      <c r="Y38" s="428"/>
      <c r="Z38" s="428"/>
      <c r="AA38" s="429"/>
      <c r="AB38" s="434">
        <f t="shared" ref="AB38:AB39" si="21">SUM(AC38:AM38)</f>
        <v>0</v>
      </c>
      <c r="AC38" s="430"/>
      <c r="AD38" s="430"/>
      <c r="AE38" s="430"/>
      <c r="AF38" s="430"/>
      <c r="AG38" s="430"/>
      <c r="AH38" s="430"/>
      <c r="AI38" s="430"/>
      <c r="AJ38" s="430"/>
      <c r="AK38" s="430"/>
      <c r="AL38" s="430"/>
      <c r="AM38" s="431"/>
    </row>
    <row r="39" spans="1:39" ht="24" customHeight="1">
      <c r="A39" s="424"/>
      <c r="B39" s="425" t="s">
        <v>1137</v>
      </c>
      <c r="C39" s="419" t="s">
        <v>642</v>
      </c>
      <c r="D39" s="433">
        <f t="shared" si="19"/>
        <v>0</v>
      </c>
      <c r="E39" s="428"/>
      <c r="F39" s="428"/>
      <c r="G39" s="428"/>
      <c r="H39" s="428"/>
      <c r="I39" s="428"/>
      <c r="J39" s="428"/>
      <c r="K39" s="428"/>
      <c r="L39" s="428"/>
      <c r="M39" s="428"/>
      <c r="N39" s="428"/>
      <c r="O39" s="429"/>
      <c r="P39" s="434">
        <f t="shared" si="20"/>
        <v>0</v>
      </c>
      <c r="Q39" s="428"/>
      <c r="R39" s="428"/>
      <c r="S39" s="428"/>
      <c r="T39" s="428"/>
      <c r="U39" s="428"/>
      <c r="V39" s="428"/>
      <c r="W39" s="428"/>
      <c r="X39" s="428"/>
      <c r="Y39" s="428"/>
      <c r="Z39" s="428"/>
      <c r="AA39" s="429"/>
      <c r="AB39" s="434">
        <f t="shared" si="21"/>
        <v>28000</v>
      </c>
      <c r="AC39" s="430">
        <v>28000</v>
      </c>
      <c r="AD39" s="430"/>
      <c r="AE39" s="430"/>
      <c r="AF39" s="430"/>
      <c r="AG39" s="430"/>
      <c r="AH39" s="430"/>
      <c r="AI39" s="430"/>
      <c r="AJ39" s="430"/>
      <c r="AK39" s="430"/>
      <c r="AL39" s="430"/>
      <c r="AM39" s="431"/>
    </row>
    <row r="40" spans="1:39" ht="24" customHeight="1">
      <c r="A40" s="424"/>
      <c r="B40" s="425" t="s">
        <v>1137</v>
      </c>
      <c r="C40" s="419" t="s">
        <v>1132</v>
      </c>
      <c r="D40" s="433">
        <f t="shared" si="19"/>
        <v>0</v>
      </c>
      <c r="E40" s="428"/>
      <c r="F40" s="428"/>
      <c r="G40" s="428"/>
      <c r="H40" s="428"/>
      <c r="I40" s="428"/>
      <c r="J40" s="428"/>
      <c r="K40" s="428"/>
      <c r="L40" s="428"/>
      <c r="M40" s="428"/>
      <c r="N40" s="428"/>
      <c r="O40" s="429"/>
      <c r="P40" s="434">
        <f t="shared" ref="P40" si="22">SUM(Q40:AA40)</f>
        <v>0</v>
      </c>
      <c r="Q40" s="428"/>
      <c r="R40" s="428"/>
      <c r="S40" s="428"/>
      <c r="T40" s="428"/>
      <c r="U40" s="428"/>
      <c r="V40" s="428"/>
      <c r="W40" s="428"/>
      <c r="X40" s="428"/>
      <c r="Y40" s="428"/>
      <c r="Z40" s="428"/>
      <c r="AA40" s="429"/>
      <c r="AB40" s="434">
        <f t="shared" ref="AB40" si="23">SUM(AC40:AM40)</f>
        <v>3557.4</v>
      </c>
      <c r="AC40" s="430">
        <v>3557.4</v>
      </c>
      <c r="AD40" s="430"/>
      <c r="AE40" s="430"/>
      <c r="AF40" s="430"/>
      <c r="AG40" s="430"/>
      <c r="AH40" s="430"/>
      <c r="AI40" s="430"/>
      <c r="AJ40" s="430"/>
      <c r="AK40" s="430"/>
      <c r="AL40" s="430"/>
      <c r="AM40" s="431"/>
    </row>
    <row r="41" spans="1:39" ht="11.4">
      <c r="A41" s="417" t="s">
        <v>716</v>
      </c>
      <c r="B41" s="418"/>
      <c r="C41" s="419" t="s">
        <v>528</v>
      </c>
      <c r="D41" s="420">
        <f>SUM(D42:D45)</f>
        <v>1554637.04</v>
      </c>
      <c r="E41" s="420">
        <f t="shared" ref="E41:O41" si="24">SUM(E42:E45)</f>
        <v>474447.8</v>
      </c>
      <c r="F41" s="420">
        <f t="shared" si="24"/>
        <v>49626.667000000001</v>
      </c>
      <c r="G41" s="420">
        <f t="shared" si="24"/>
        <v>0</v>
      </c>
      <c r="H41" s="420">
        <f t="shared" si="24"/>
        <v>0</v>
      </c>
      <c r="I41" s="420">
        <f t="shared" si="24"/>
        <v>0</v>
      </c>
      <c r="J41" s="420">
        <f t="shared" si="24"/>
        <v>0</v>
      </c>
      <c r="K41" s="420">
        <f t="shared" si="24"/>
        <v>980935.90599999996</v>
      </c>
      <c r="L41" s="420">
        <f t="shared" si="24"/>
        <v>0</v>
      </c>
      <c r="M41" s="420">
        <f t="shared" si="24"/>
        <v>49626.667000000001</v>
      </c>
      <c r="N41" s="420">
        <f t="shared" si="24"/>
        <v>0</v>
      </c>
      <c r="O41" s="420">
        <f t="shared" si="24"/>
        <v>0</v>
      </c>
      <c r="P41" s="420">
        <f>SUM(P42:P45)</f>
        <v>1368353.8</v>
      </c>
      <c r="Q41" s="420">
        <f t="shared" ref="Q41:AA41" si="25">SUM(Q42:Q45)</f>
        <v>868353.8</v>
      </c>
      <c r="R41" s="420">
        <f t="shared" si="25"/>
        <v>0</v>
      </c>
      <c r="S41" s="420">
        <f t="shared" si="25"/>
        <v>0</v>
      </c>
      <c r="T41" s="420">
        <f t="shared" si="25"/>
        <v>0</v>
      </c>
      <c r="U41" s="420">
        <f t="shared" si="25"/>
        <v>0</v>
      </c>
      <c r="V41" s="420">
        <f t="shared" si="25"/>
        <v>0</v>
      </c>
      <c r="W41" s="420">
        <f t="shared" si="25"/>
        <v>500000</v>
      </c>
      <c r="X41" s="420">
        <f t="shared" si="25"/>
        <v>0</v>
      </c>
      <c r="Y41" s="420">
        <f t="shared" si="25"/>
        <v>0</v>
      </c>
      <c r="Z41" s="420">
        <f t="shared" si="25"/>
        <v>0</v>
      </c>
      <c r="AA41" s="420">
        <f t="shared" si="25"/>
        <v>0</v>
      </c>
      <c r="AB41" s="420">
        <f>SUM(AB42:AB45)</f>
        <v>1368353.8</v>
      </c>
      <c r="AC41" s="420">
        <f>SUM(AC42:AC45)</f>
        <v>868353.8</v>
      </c>
      <c r="AD41" s="420">
        <f t="shared" ref="AD41:AM41" si="26">SUM(AD42:AD45)</f>
        <v>0</v>
      </c>
      <c r="AE41" s="420">
        <f t="shared" si="26"/>
        <v>0</v>
      </c>
      <c r="AF41" s="420">
        <f t="shared" si="26"/>
        <v>0</v>
      </c>
      <c r="AG41" s="420">
        <f t="shared" si="26"/>
        <v>0</v>
      </c>
      <c r="AH41" s="420">
        <f t="shared" si="26"/>
        <v>0</v>
      </c>
      <c r="AI41" s="420">
        <f t="shared" si="26"/>
        <v>500000</v>
      </c>
      <c r="AJ41" s="420">
        <f t="shared" si="26"/>
        <v>0</v>
      </c>
      <c r="AK41" s="420">
        <f t="shared" si="26"/>
        <v>0</v>
      </c>
      <c r="AL41" s="420">
        <f t="shared" si="26"/>
        <v>0</v>
      </c>
      <c r="AM41" s="420">
        <f t="shared" si="26"/>
        <v>0</v>
      </c>
    </row>
    <row r="42" spans="1:39" ht="11.4">
      <c r="A42" s="424"/>
      <c r="B42" s="425" t="s">
        <v>695</v>
      </c>
      <c r="C42" s="419" t="s">
        <v>717</v>
      </c>
      <c r="D42" s="435">
        <f t="shared" si="8"/>
        <v>474447.8</v>
      </c>
      <c r="E42" s="427">
        <v>474447.8</v>
      </c>
      <c r="F42" s="428"/>
      <c r="G42" s="428"/>
      <c r="H42" s="428"/>
      <c r="I42" s="428"/>
      <c r="J42" s="428"/>
      <c r="K42" s="428"/>
      <c r="L42" s="428"/>
      <c r="M42" s="428"/>
      <c r="N42" s="428"/>
      <c r="O42" s="429"/>
      <c r="P42" s="434">
        <f t="shared" si="3"/>
        <v>474447.8</v>
      </c>
      <c r="Q42" s="428">
        <v>474447.8</v>
      </c>
      <c r="R42" s="428"/>
      <c r="S42" s="428">
        <v>0</v>
      </c>
      <c r="T42" s="428">
        <v>0</v>
      </c>
      <c r="U42" s="428"/>
      <c r="V42" s="428"/>
      <c r="W42" s="428"/>
      <c r="X42" s="428"/>
      <c r="Y42" s="428"/>
      <c r="Z42" s="428"/>
      <c r="AA42" s="429"/>
      <c r="AB42" s="434">
        <f t="shared" si="4"/>
        <v>474447.8</v>
      </c>
      <c r="AC42" s="428">
        <v>474447.8</v>
      </c>
      <c r="AD42" s="428"/>
      <c r="AE42" s="428">
        <v>0</v>
      </c>
      <c r="AF42" s="428">
        <v>0</v>
      </c>
      <c r="AG42" s="428"/>
      <c r="AH42" s="428"/>
      <c r="AI42" s="428"/>
      <c r="AJ42" s="428"/>
      <c r="AK42" s="428"/>
      <c r="AL42" s="428"/>
      <c r="AM42" s="429"/>
    </row>
    <row r="43" spans="1:39" ht="11.4">
      <c r="A43" s="424"/>
      <c r="B43" s="425" t="s">
        <v>706</v>
      </c>
      <c r="C43" s="419" t="s">
        <v>433</v>
      </c>
      <c r="D43" s="435">
        <f t="shared" si="8"/>
        <v>0</v>
      </c>
      <c r="E43" s="427"/>
      <c r="F43" s="428"/>
      <c r="G43" s="428"/>
      <c r="H43" s="428"/>
      <c r="I43" s="428"/>
      <c r="J43" s="428"/>
      <c r="K43" s="428"/>
      <c r="L43" s="428"/>
      <c r="M43" s="428"/>
      <c r="N43" s="428"/>
      <c r="O43" s="429"/>
      <c r="P43" s="434">
        <f t="shared" si="3"/>
        <v>3000</v>
      </c>
      <c r="Q43" s="428">
        <v>3000</v>
      </c>
      <c r="R43" s="428"/>
      <c r="S43" s="428"/>
      <c r="T43" s="428"/>
      <c r="U43" s="428"/>
      <c r="V43" s="428"/>
      <c r="W43" s="428"/>
      <c r="X43" s="428"/>
      <c r="Y43" s="428"/>
      <c r="Z43" s="428"/>
      <c r="AA43" s="429"/>
      <c r="AB43" s="434">
        <f t="shared" si="4"/>
        <v>3000</v>
      </c>
      <c r="AC43" s="427">
        <v>3000</v>
      </c>
      <c r="AD43" s="430"/>
      <c r="AE43" s="430"/>
      <c r="AF43" s="430"/>
      <c r="AG43" s="430"/>
      <c r="AH43" s="430"/>
      <c r="AI43" s="430"/>
      <c r="AJ43" s="430"/>
      <c r="AK43" s="430"/>
      <c r="AL43" s="430"/>
      <c r="AM43" s="431"/>
    </row>
    <row r="44" spans="1:39" ht="11.4">
      <c r="A44" s="424"/>
      <c r="B44" s="425" t="s">
        <v>688</v>
      </c>
      <c r="C44" s="419" t="s">
        <v>434</v>
      </c>
      <c r="D44" s="435">
        <f t="shared" si="8"/>
        <v>148880</v>
      </c>
      <c r="E44" s="427"/>
      <c r="F44" s="428">
        <v>49626.667000000001</v>
      </c>
      <c r="G44" s="428"/>
      <c r="H44" s="428"/>
      <c r="I44" s="428"/>
      <c r="J44" s="428"/>
      <c r="K44" s="428">
        <f>14888+34738.666</f>
        <v>49626.665999999997</v>
      </c>
      <c r="L44" s="428"/>
      <c r="M44" s="428">
        <v>49626.667000000001</v>
      </c>
      <c r="N44" s="428"/>
      <c r="O44" s="429"/>
      <c r="P44" s="434">
        <f t="shared" si="3"/>
        <v>390906</v>
      </c>
      <c r="Q44" s="428">
        <v>390906</v>
      </c>
      <c r="R44" s="428"/>
      <c r="S44" s="428"/>
      <c r="T44" s="428"/>
      <c r="U44" s="428"/>
      <c r="V44" s="428"/>
      <c r="W44" s="428"/>
      <c r="X44" s="428"/>
      <c r="Y44" s="428"/>
      <c r="Z44" s="428"/>
      <c r="AA44" s="429"/>
      <c r="AB44" s="434">
        <f t="shared" si="4"/>
        <v>390906</v>
      </c>
      <c r="AC44" s="427">
        <v>390906</v>
      </c>
      <c r="AD44" s="427"/>
      <c r="AE44" s="430"/>
      <c r="AF44" s="430"/>
      <c r="AG44" s="430"/>
      <c r="AH44" s="430"/>
      <c r="AI44" s="427"/>
      <c r="AJ44" s="430"/>
      <c r="AK44" s="427"/>
      <c r="AL44" s="430"/>
      <c r="AM44" s="431"/>
    </row>
    <row r="45" spans="1:39" ht="11.4">
      <c r="A45" s="424"/>
      <c r="B45" s="425" t="s">
        <v>718</v>
      </c>
      <c r="C45" s="419" t="s">
        <v>436</v>
      </c>
      <c r="D45" s="435">
        <f t="shared" si="8"/>
        <v>931309.24</v>
      </c>
      <c r="E45" s="427"/>
      <c r="F45" s="428"/>
      <c r="G45" s="428"/>
      <c r="H45" s="428"/>
      <c r="I45" s="428"/>
      <c r="J45" s="428"/>
      <c r="K45" s="427">
        <v>931309.24</v>
      </c>
      <c r="L45" s="428"/>
      <c r="M45" s="428"/>
      <c r="N45" s="428"/>
      <c r="O45" s="429"/>
      <c r="P45" s="434">
        <f t="shared" si="3"/>
        <v>500000</v>
      </c>
      <c r="Q45" s="428"/>
      <c r="R45" s="428"/>
      <c r="S45" s="428"/>
      <c r="T45" s="428"/>
      <c r="U45" s="428"/>
      <c r="V45" s="428"/>
      <c r="W45" s="428">
        <v>500000</v>
      </c>
      <c r="X45" s="428"/>
      <c r="Y45" s="428"/>
      <c r="Z45" s="428"/>
      <c r="AA45" s="429"/>
      <c r="AB45" s="434">
        <f t="shared" si="4"/>
        <v>500000</v>
      </c>
      <c r="AC45" s="427"/>
      <c r="AD45" s="430"/>
      <c r="AE45" s="430"/>
      <c r="AF45" s="430"/>
      <c r="AG45" s="430"/>
      <c r="AH45" s="430"/>
      <c r="AI45" s="427">
        <v>500000</v>
      </c>
      <c r="AJ45" s="430"/>
      <c r="AK45" s="430"/>
      <c r="AL45" s="430"/>
      <c r="AM45" s="431"/>
    </row>
    <row r="46" spans="1:39" ht="11.4">
      <c r="A46" s="417" t="s">
        <v>719</v>
      </c>
      <c r="B46" s="418"/>
      <c r="C46" s="419" t="s">
        <v>445</v>
      </c>
      <c r="D46" s="420">
        <f>SUM(D47)</f>
        <v>40800.699999999997</v>
      </c>
      <c r="E46" s="451">
        <f t="shared" ref="E46:O46" si="27">SUM(E47)</f>
        <v>40800.699999999997</v>
      </c>
      <c r="F46" s="421">
        <f t="shared" si="27"/>
        <v>0</v>
      </c>
      <c r="G46" s="421">
        <f t="shared" si="27"/>
        <v>0</v>
      </c>
      <c r="H46" s="421">
        <f t="shared" si="27"/>
        <v>0</v>
      </c>
      <c r="I46" s="421">
        <f t="shared" si="27"/>
        <v>0</v>
      </c>
      <c r="J46" s="421">
        <f t="shared" si="27"/>
        <v>0</v>
      </c>
      <c r="K46" s="421">
        <f t="shared" si="27"/>
        <v>0</v>
      </c>
      <c r="L46" s="421">
        <f t="shared" si="27"/>
        <v>0</v>
      </c>
      <c r="M46" s="421">
        <f t="shared" si="27"/>
        <v>0</v>
      </c>
      <c r="N46" s="421">
        <f t="shared" si="27"/>
        <v>0</v>
      </c>
      <c r="O46" s="422">
        <f t="shared" si="27"/>
        <v>0</v>
      </c>
      <c r="P46" s="423">
        <f>SUM(P47)</f>
        <v>40800.699999999997</v>
      </c>
      <c r="Q46" s="421">
        <f t="shared" ref="Q46:AM46" si="28">SUM(Q47)</f>
        <v>40800.699999999997</v>
      </c>
      <c r="R46" s="421">
        <f t="shared" si="28"/>
        <v>0</v>
      </c>
      <c r="S46" s="421">
        <f t="shared" si="28"/>
        <v>0</v>
      </c>
      <c r="T46" s="421">
        <f t="shared" si="28"/>
        <v>0</v>
      </c>
      <c r="U46" s="421">
        <f t="shared" si="28"/>
        <v>0</v>
      </c>
      <c r="V46" s="421">
        <f t="shared" si="28"/>
        <v>0</v>
      </c>
      <c r="W46" s="421">
        <f t="shared" si="28"/>
        <v>0</v>
      </c>
      <c r="X46" s="421">
        <f t="shared" si="28"/>
        <v>0</v>
      </c>
      <c r="Y46" s="421">
        <f t="shared" si="28"/>
        <v>0</v>
      </c>
      <c r="Z46" s="421">
        <f t="shared" si="28"/>
        <v>0</v>
      </c>
      <c r="AA46" s="422">
        <f t="shared" si="28"/>
        <v>0</v>
      </c>
      <c r="AB46" s="423">
        <f t="shared" si="28"/>
        <v>40800.699999999997</v>
      </c>
      <c r="AC46" s="421">
        <f t="shared" si="28"/>
        <v>40800.699999999997</v>
      </c>
      <c r="AD46" s="421">
        <f t="shared" si="28"/>
        <v>0</v>
      </c>
      <c r="AE46" s="421">
        <f t="shared" si="28"/>
        <v>0</v>
      </c>
      <c r="AF46" s="421">
        <f t="shared" si="28"/>
        <v>0</v>
      </c>
      <c r="AG46" s="421">
        <f t="shared" si="28"/>
        <v>0</v>
      </c>
      <c r="AH46" s="421">
        <f t="shared" si="28"/>
        <v>0</v>
      </c>
      <c r="AI46" s="421">
        <f t="shared" si="28"/>
        <v>0</v>
      </c>
      <c r="AJ46" s="421">
        <f t="shared" si="28"/>
        <v>0</v>
      </c>
      <c r="AK46" s="421">
        <f t="shared" si="28"/>
        <v>0</v>
      </c>
      <c r="AL46" s="421">
        <f t="shared" si="28"/>
        <v>0</v>
      </c>
      <c r="AM46" s="422">
        <f t="shared" si="28"/>
        <v>0</v>
      </c>
    </row>
    <row r="47" spans="1:39" ht="12" thickBot="1">
      <c r="A47" s="439"/>
      <c r="B47" s="440" t="s">
        <v>686</v>
      </c>
      <c r="C47" s="751" t="s">
        <v>445</v>
      </c>
      <c r="D47" s="448">
        <f t="shared" si="8"/>
        <v>40800.699999999997</v>
      </c>
      <c r="E47" s="441">
        <v>40800.699999999997</v>
      </c>
      <c r="F47" s="441"/>
      <c r="G47" s="441"/>
      <c r="H47" s="441"/>
      <c r="I47" s="441"/>
      <c r="J47" s="441"/>
      <c r="K47" s="441"/>
      <c r="L47" s="441"/>
      <c r="M47" s="441"/>
      <c r="N47" s="442"/>
      <c r="O47" s="443"/>
      <c r="P47" s="449">
        <f t="shared" si="3"/>
        <v>40800.699999999997</v>
      </c>
      <c r="Q47" s="441">
        <v>40800.699999999997</v>
      </c>
      <c r="R47" s="441"/>
      <c r="S47" s="441"/>
      <c r="T47" s="441"/>
      <c r="U47" s="441"/>
      <c r="V47" s="441"/>
      <c r="W47" s="441"/>
      <c r="X47" s="441"/>
      <c r="Y47" s="441"/>
      <c r="Z47" s="442"/>
      <c r="AA47" s="443"/>
      <c r="AB47" s="449">
        <f t="shared" si="4"/>
        <v>40800.699999999997</v>
      </c>
      <c r="AC47" s="441">
        <v>40800.699999999997</v>
      </c>
      <c r="AD47" s="444"/>
      <c r="AE47" s="444"/>
      <c r="AF47" s="444"/>
      <c r="AG47" s="444"/>
      <c r="AH47" s="444"/>
      <c r="AI47" s="444"/>
      <c r="AJ47" s="444"/>
      <c r="AK47" s="444"/>
      <c r="AL47" s="442"/>
      <c r="AM47" s="445"/>
    </row>
  </sheetData>
  <mergeCells count="6">
    <mergeCell ref="AB2:AM2"/>
    <mergeCell ref="A1:C1"/>
    <mergeCell ref="A2:B3"/>
    <mergeCell ref="C2:C3"/>
    <mergeCell ref="D2:O2"/>
    <mergeCell ref="P2:AA2"/>
  </mergeCells>
  <pageMargins left="0.7" right="0.7" top="0.75" bottom="0.75" header="0.3" footer="0.3"/>
  <pageSetup paperSize="9" orientation="portrait"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25"/>
  <sheetViews>
    <sheetView workbookViewId="0">
      <selection activeCell="E18" sqref="E18"/>
    </sheetView>
  </sheetViews>
  <sheetFormatPr defaultRowHeight="14.4"/>
  <cols>
    <col min="1" max="1" width="8.88671875" customWidth="1"/>
    <col min="2" max="2" width="40.33203125" customWidth="1"/>
    <col min="3" max="3" width="18.6640625" customWidth="1"/>
    <col min="4" max="4" width="15.5546875" customWidth="1"/>
    <col min="5" max="5" width="14.33203125" customWidth="1"/>
    <col min="6" max="6" width="17" customWidth="1"/>
    <col min="7" max="7" width="16.44140625" customWidth="1"/>
  </cols>
  <sheetData>
    <row r="1" spans="1:11" ht="62.25" customHeight="1">
      <c r="A1" s="943" t="s">
        <v>43</v>
      </c>
      <c r="B1" s="943"/>
      <c r="C1" s="943"/>
      <c r="D1" s="943"/>
      <c r="E1" s="943"/>
      <c r="F1" s="943"/>
      <c r="G1" s="943"/>
      <c r="H1" s="943"/>
    </row>
    <row r="3" spans="1:11" ht="15" customHeight="1">
      <c r="B3" s="914" t="s">
        <v>12</v>
      </c>
      <c r="C3" s="914" t="s">
        <v>102</v>
      </c>
      <c r="D3" s="914" t="s">
        <v>103</v>
      </c>
      <c r="E3" s="914" t="s">
        <v>42</v>
      </c>
      <c r="F3" s="914"/>
      <c r="G3" s="914"/>
    </row>
    <row r="4" spans="1:11" ht="46.5" customHeight="1">
      <c r="B4" s="914"/>
      <c r="C4" s="914"/>
      <c r="D4" s="914"/>
      <c r="E4" s="199" t="s">
        <v>54</v>
      </c>
      <c r="F4" s="199" t="s">
        <v>72</v>
      </c>
      <c r="G4" s="199" t="s">
        <v>97</v>
      </c>
    </row>
    <row r="5" spans="1:11" ht="15.6">
      <c r="B5" s="316" t="s">
        <v>14</v>
      </c>
      <c r="C5" s="317">
        <f>+C7+C17</f>
        <v>2419931.1</v>
      </c>
      <c r="D5" s="317">
        <f t="shared" ref="D5:G5" si="0">+D7+D17</f>
        <v>2242790</v>
      </c>
      <c r="E5" s="317">
        <f t="shared" si="0"/>
        <v>2246790</v>
      </c>
      <c r="F5" s="317">
        <f t="shared" si="0"/>
        <v>2193490</v>
      </c>
      <c r="G5" s="317">
        <f t="shared" si="0"/>
        <v>2193490</v>
      </c>
    </row>
    <row r="6" spans="1:11" ht="15">
      <c r="B6" s="318" t="s">
        <v>533</v>
      </c>
      <c r="C6" s="319"/>
      <c r="D6" s="320"/>
      <c r="E6" s="320"/>
      <c r="F6" s="320"/>
      <c r="G6" s="320"/>
    </row>
    <row r="7" spans="1:11" ht="38.25" customHeight="1">
      <c r="B7" s="321" t="s">
        <v>534</v>
      </c>
      <c r="C7" s="322">
        <f>SUM(C8:C16)</f>
        <v>2199351.1</v>
      </c>
      <c r="D7" s="322">
        <f t="shared" ref="D7:G7" si="1">SUM(D8:D16)</f>
        <v>1998840</v>
      </c>
      <c r="E7" s="322">
        <f t="shared" si="1"/>
        <v>2002840</v>
      </c>
      <c r="F7" s="322">
        <f t="shared" si="1"/>
        <v>2002840</v>
      </c>
      <c r="G7" s="322">
        <f t="shared" si="1"/>
        <v>2002840</v>
      </c>
    </row>
    <row r="8" spans="1:11" s="51" customFormat="1" ht="17.399999999999999">
      <c r="B8" s="323" t="s">
        <v>535</v>
      </c>
      <c r="C8" s="324">
        <v>505174.19999999995</v>
      </c>
      <c r="D8" s="324">
        <v>462000</v>
      </c>
      <c r="E8" s="324">
        <f t="shared" ref="E8:G16" si="2">D8</f>
        <v>462000</v>
      </c>
      <c r="F8" s="324">
        <f t="shared" si="2"/>
        <v>462000</v>
      </c>
      <c r="G8" s="324">
        <f t="shared" si="2"/>
        <v>462000</v>
      </c>
      <c r="I8" s="325"/>
      <c r="J8" s="326"/>
      <c r="K8" s="326"/>
    </row>
    <row r="9" spans="1:11" s="51" customFormat="1" ht="17.399999999999999">
      <c r="B9" s="323" t="s">
        <v>536</v>
      </c>
      <c r="C9" s="324">
        <v>104828.4</v>
      </c>
      <c r="D9" s="324">
        <v>107000</v>
      </c>
      <c r="E9" s="324">
        <f t="shared" si="2"/>
        <v>107000</v>
      </c>
      <c r="F9" s="324">
        <f t="shared" si="2"/>
        <v>107000</v>
      </c>
      <c r="G9" s="324">
        <f t="shared" si="2"/>
        <v>107000</v>
      </c>
      <c r="I9" s="325"/>
      <c r="J9" s="326"/>
      <c r="K9" s="326"/>
    </row>
    <row r="10" spans="1:11" s="51" customFormat="1" ht="17.399999999999999">
      <c r="B10" s="323" t="s">
        <v>537</v>
      </c>
      <c r="C10" s="324">
        <v>97923.099999999991</v>
      </c>
      <c r="D10" s="324">
        <v>85000</v>
      </c>
      <c r="E10" s="324">
        <v>85000</v>
      </c>
      <c r="F10" s="324">
        <v>85000</v>
      </c>
      <c r="G10" s="324">
        <v>85000</v>
      </c>
      <c r="I10" s="325"/>
      <c r="J10" s="326"/>
      <c r="K10" s="326"/>
    </row>
    <row r="11" spans="1:11" s="51" customFormat="1" ht="30">
      <c r="B11" s="323" t="s">
        <v>538</v>
      </c>
      <c r="C11" s="324">
        <v>8432</v>
      </c>
      <c r="D11" s="324">
        <v>9200</v>
      </c>
      <c r="E11" s="324">
        <f>D11</f>
        <v>9200</v>
      </c>
      <c r="F11" s="324">
        <f t="shared" si="2"/>
        <v>9200</v>
      </c>
      <c r="G11" s="324">
        <f t="shared" si="2"/>
        <v>9200</v>
      </c>
      <c r="I11" s="325"/>
      <c r="J11" s="326"/>
      <c r="K11" s="326"/>
    </row>
    <row r="12" spans="1:11" ht="17.399999999999999">
      <c r="B12" s="323" t="s">
        <v>539</v>
      </c>
      <c r="C12" s="324">
        <v>10417.1</v>
      </c>
      <c r="D12" s="324">
        <v>14600</v>
      </c>
      <c r="E12" s="324">
        <f>D12</f>
        <v>14600</v>
      </c>
      <c r="F12" s="324">
        <f t="shared" si="2"/>
        <v>14600</v>
      </c>
      <c r="G12" s="324">
        <f t="shared" si="2"/>
        <v>14600</v>
      </c>
      <c r="I12" s="327"/>
      <c r="J12" s="328"/>
      <c r="K12" s="328"/>
    </row>
    <row r="13" spans="1:11" s="329" customFormat="1" ht="30">
      <c r="B13" s="323" t="s">
        <v>540</v>
      </c>
      <c r="C13" s="324">
        <v>5004.8999999999996</v>
      </c>
      <c r="D13" s="324">
        <v>5000</v>
      </c>
      <c r="E13" s="324">
        <f>D13</f>
        <v>5000</v>
      </c>
      <c r="F13" s="324">
        <f t="shared" si="2"/>
        <v>5000</v>
      </c>
      <c r="G13" s="324">
        <f t="shared" si="2"/>
        <v>5000</v>
      </c>
      <c r="H13" s="51"/>
      <c r="I13" s="325"/>
      <c r="J13" s="326"/>
      <c r="K13" s="326"/>
    </row>
    <row r="14" spans="1:11" s="51" customFormat="1" ht="30">
      <c r="B14" s="323" t="s">
        <v>541</v>
      </c>
      <c r="C14" s="324">
        <v>264275.09999999998</v>
      </c>
      <c r="D14" s="324">
        <v>281000</v>
      </c>
      <c r="E14" s="324">
        <v>285000</v>
      </c>
      <c r="F14" s="324">
        <v>285000</v>
      </c>
      <c r="G14" s="324">
        <v>285000</v>
      </c>
    </row>
    <row r="15" spans="1:11" s="51" customFormat="1" ht="30">
      <c r="B15" s="323" t="s">
        <v>542</v>
      </c>
      <c r="C15" s="324">
        <v>12822</v>
      </c>
      <c r="D15" s="324">
        <v>12500</v>
      </c>
      <c r="E15" s="324">
        <f t="shared" ref="E15:E16" si="3">D15</f>
        <v>12500</v>
      </c>
      <c r="F15" s="324">
        <f t="shared" si="2"/>
        <v>12500</v>
      </c>
      <c r="G15" s="324">
        <f t="shared" si="2"/>
        <v>12500</v>
      </c>
    </row>
    <row r="16" spans="1:11" s="330" customFormat="1" ht="15">
      <c r="B16" s="323" t="s">
        <v>543</v>
      </c>
      <c r="C16" s="324">
        <v>1190474.3</v>
      </c>
      <c r="D16" s="324">
        <v>1022540</v>
      </c>
      <c r="E16" s="324">
        <f t="shared" si="3"/>
        <v>1022540</v>
      </c>
      <c r="F16" s="324">
        <f t="shared" si="2"/>
        <v>1022540</v>
      </c>
      <c r="G16" s="324">
        <f t="shared" si="2"/>
        <v>1022540</v>
      </c>
      <c r="H16"/>
      <c r="I16"/>
      <c r="J16"/>
      <c r="K16"/>
    </row>
    <row r="17" spans="2:9" ht="24" customHeight="1">
      <c r="B17" s="331" t="s">
        <v>544</v>
      </c>
      <c r="C17" s="322">
        <f>+C19</f>
        <v>220580</v>
      </c>
      <c r="D17" s="322">
        <f>+D19</f>
        <v>243950</v>
      </c>
      <c r="E17" s="322">
        <f t="shared" ref="E17:G17" si="4">+E19</f>
        <v>243950</v>
      </c>
      <c r="F17" s="322">
        <f t="shared" si="4"/>
        <v>190650</v>
      </c>
      <c r="G17" s="322">
        <f t="shared" si="4"/>
        <v>190650</v>
      </c>
    </row>
    <row r="18" spans="2:9" ht="18.75" customHeight="1">
      <c r="B18" s="318" t="s">
        <v>533</v>
      </c>
      <c r="C18" s="332"/>
      <c r="D18" s="333"/>
      <c r="E18" s="334"/>
      <c r="F18" s="334"/>
      <c r="G18" s="334"/>
    </row>
    <row r="19" spans="2:9" ht="47.4" customHeight="1">
      <c r="B19" s="335" t="s">
        <v>545</v>
      </c>
      <c r="C19" s="336">
        <f>SUM(C20:C25)</f>
        <v>220580</v>
      </c>
      <c r="D19" s="336">
        <f>SUM(D20:D25)</f>
        <v>243950</v>
      </c>
      <c r="E19" s="336">
        <f>SUM(E20:E25)</f>
        <v>243950</v>
      </c>
      <c r="F19" s="336">
        <f>SUM(F20:F25)</f>
        <v>190650</v>
      </c>
      <c r="G19" s="336">
        <f>SUM(G20:G25)</f>
        <v>190650</v>
      </c>
    </row>
    <row r="20" spans="2:9" ht="15">
      <c r="B20" s="323" t="s">
        <v>535</v>
      </c>
      <c r="C20" s="324">
        <v>29930</v>
      </c>
      <c r="D20" s="324">
        <f>80000*410/1000</f>
        <v>32800</v>
      </c>
      <c r="E20" s="324">
        <f>80000*410/1000</f>
        <v>32800</v>
      </c>
      <c r="F20" s="324">
        <v>0</v>
      </c>
      <c r="G20" s="324">
        <v>0</v>
      </c>
    </row>
    <row r="21" spans="2:9" ht="15">
      <c r="B21" s="323" t="s">
        <v>537</v>
      </c>
      <c r="C21" s="324"/>
      <c r="D21" s="324">
        <f>50000*410/1000</f>
        <v>20500</v>
      </c>
      <c r="E21" s="324">
        <f>50000*410/1000</f>
        <v>20500</v>
      </c>
      <c r="F21" s="324"/>
      <c r="G21" s="324"/>
    </row>
    <row r="22" spans="2:9" ht="15">
      <c r="B22" s="323" t="s">
        <v>536</v>
      </c>
      <c r="C22" s="324">
        <v>41000</v>
      </c>
      <c r="D22" s="324">
        <f>100000*410/1000</f>
        <v>41000</v>
      </c>
      <c r="E22" s="324">
        <f>100000*410/1000</f>
        <v>41000</v>
      </c>
      <c r="F22" s="324">
        <f t="shared" ref="F22:G25" si="5">E22</f>
        <v>41000</v>
      </c>
      <c r="G22" s="324">
        <f t="shared" si="5"/>
        <v>41000</v>
      </c>
    </row>
    <row r="23" spans="2:9" ht="30">
      <c r="B23" s="323" t="s">
        <v>538</v>
      </c>
      <c r="C23" s="324">
        <v>53300</v>
      </c>
      <c r="D23" s="324">
        <f>130000*410/1000</f>
        <v>53300</v>
      </c>
      <c r="E23" s="324">
        <f>130000*410/1000</f>
        <v>53300</v>
      </c>
      <c r="F23" s="324">
        <f t="shared" si="5"/>
        <v>53300</v>
      </c>
      <c r="G23" s="324">
        <f t="shared" si="5"/>
        <v>53300</v>
      </c>
    </row>
    <row r="24" spans="2:9" ht="15">
      <c r="B24" s="323" t="s">
        <v>539</v>
      </c>
      <c r="C24" s="324">
        <v>30750</v>
      </c>
      <c r="D24" s="324">
        <f>75000*410/1000</f>
        <v>30750</v>
      </c>
      <c r="E24" s="324">
        <f>75000*410/1000</f>
        <v>30750</v>
      </c>
      <c r="F24" s="324">
        <f t="shared" si="5"/>
        <v>30750</v>
      </c>
      <c r="G24" s="324">
        <f t="shared" si="5"/>
        <v>30750</v>
      </c>
      <c r="I24" s="330"/>
    </row>
    <row r="25" spans="2:9" ht="30" customHeight="1">
      <c r="B25" s="323" t="s">
        <v>540</v>
      </c>
      <c r="C25" s="324">
        <v>65600</v>
      </c>
      <c r="D25" s="324">
        <f>160000*410/1000</f>
        <v>65600</v>
      </c>
      <c r="E25" s="324">
        <f>160000*410/1000</f>
        <v>65600</v>
      </c>
      <c r="F25" s="324">
        <f t="shared" si="5"/>
        <v>65600</v>
      </c>
      <c r="G25" s="324">
        <f t="shared" si="5"/>
        <v>65600</v>
      </c>
      <c r="I25" s="330"/>
    </row>
  </sheetData>
  <mergeCells count="5">
    <mergeCell ref="A1:H1"/>
    <mergeCell ref="B3:B4"/>
    <mergeCell ref="C3:C4"/>
    <mergeCell ref="D3:D4"/>
    <mergeCell ref="E3:G3"/>
  </mergeCells>
  <hyperlinks>
    <hyperlink ref="B17" location="_ftn1" display="_ftn1"/>
  </hyperlinks>
  <pageMargins left="0.16" right="0.25" top="0.75" bottom="0.75" header="0.3" footer="0.3"/>
  <pageSetup orientation="landscape" horizontalDpi="1200"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Z29"/>
  <sheetViews>
    <sheetView topLeftCell="A13" zoomScale="120" zoomScaleNormal="120" workbookViewId="0">
      <selection activeCell="Y9" sqref="Y9"/>
    </sheetView>
  </sheetViews>
  <sheetFormatPr defaultRowHeight="14.4"/>
  <cols>
    <col min="1" max="1" width="3.88671875" customWidth="1"/>
    <col min="2" max="2" width="10.6640625" customWidth="1"/>
    <col min="3" max="3" width="12.6640625" customWidth="1"/>
    <col min="4" max="4" width="15.6640625" customWidth="1"/>
    <col min="5" max="5" width="18.44140625" customWidth="1"/>
    <col min="6" max="6" width="20.44140625" customWidth="1"/>
    <col min="7" max="7" width="11.109375" customWidth="1"/>
    <col min="8" max="8" width="8.88671875" customWidth="1"/>
    <col min="9" max="9" width="8.44140625" customWidth="1"/>
    <col min="10" max="21" width="8.88671875" customWidth="1"/>
    <col min="22" max="22" width="9.88671875" customWidth="1"/>
    <col min="23" max="23" width="10.109375" customWidth="1"/>
    <col min="25" max="25" width="9" customWidth="1"/>
    <col min="26" max="27" width="10.6640625" customWidth="1"/>
    <col min="28" max="28" width="9.44140625" customWidth="1"/>
    <col min="29" max="29" width="8.88671875" customWidth="1"/>
    <col min="30" max="30" width="10.6640625" customWidth="1"/>
    <col min="31" max="33" width="10" customWidth="1"/>
    <col min="34" max="34" width="9.88671875" customWidth="1"/>
    <col min="35" max="35" width="11.33203125" customWidth="1"/>
    <col min="37" max="37" width="11.88671875" customWidth="1"/>
    <col min="38" max="38" width="11.109375" customWidth="1"/>
    <col min="40" max="40" width="11.6640625" customWidth="1"/>
    <col min="41" max="41" width="11" bestFit="1" customWidth="1"/>
    <col min="43" max="43" width="13.44140625" customWidth="1"/>
    <col min="44" max="44" width="11.109375" customWidth="1"/>
    <col min="46" max="46" width="9.88671875" customWidth="1"/>
    <col min="47" max="47" width="10.33203125" customWidth="1"/>
  </cols>
  <sheetData>
    <row r="1" spans="1:52" s="51" customFormat="1" ht="22.5" customHeight="1">
      <c r="A1" s="61" t="s">
        <v>67</v>
      </c>
      <c r="B1" s="64"/>
      <c r="C1" s="64"/>
      <c r="D1" s="64"/>
      <c r="E1" s="64"/>
      <c r="F1" s="64"/>
      <c r="G1" s="64"/>
      <c r="H1" s="64"/>
      <c r="I1" s="64"/>
      <c r="J1" s="64"/>
      <c r="K1" s="64"/>
      <c r="L1" s="64"/>
      <c r="M1" s="64"/>
      <c r="N1" s="64"/>
      <c r="O1" s="64"/>
      <c r="P1" s="54"/>
      <c r="Q1" s="54"/>
      <c r="R1" s="54"/>
      <c r="S1" s="54"/>
      <c r="T1" s="54"/>
      <c r="U1" s="54"/>
      <c r="V1" s="54"/>
      <c r="W1" s="54"/>
      <c r="X1" s="54"/>
      <c r="Y1" s="54"/>
      <c r="Z1" s="54"/>
      <c r="AA1" s="54"/>
      <c r="AB1" s="54"/>
      <c r="AC1" s="54"/>
      <c r="AD1" s="54"/>
      <c r="AE1" s="54"/>
      <c r="AF1" s="54"/>
      <c r="AG1" s="54"/>
    </row>
    <row r="2" spans="1:52" ht="18">
      <c r="A2" s="61"/>
      <c r="B2" s="64"/>
      <c r="C2" s="64"/>
      <c r="D2" s="64"/>
      <c r="E2" s="64"/>
      <c r="F2" s="64"/>
      <c r="G2" s="64"/>
      <c r="H2" s="64"/>
      <c r="I2" s="64"/>
      <c r="J2" s="64"/>
      <c r="K2" s="64"/>
      <c r="L2" s="64"/>
      <c r="M2" s="64"/>
      <c r="N2" s="64"/>
      <c r="O2" s="64"/>
      <c r="P2" s="16"/>
      <c r="Q2" s="16"/>
      <c r="R2" s="16"/>
      <c r="S2" s="16"/>
      <c r="T2" s="16"/>
      <c r="U2" s="16"/>
      <c r="V2" s="16"/>
      <c r="W2" s="16"/>
      <c r="X2" s="16"/>
      <c r="Y2" s="16"/>
      <c r="Z2" s="16"/>
      <c r="AA2" s="16"/>
      <c r="AB2" s="16"/>
      <c r="AC2" s="16"/>
      <c r="AD2" s="16"/>
      <c r="AE2" s="16"/>
      <c r="AF2" s="16"/>
      <c r="AG2" s="16"/>
    </row>
    <row r="3" spans="1:52" s="51" customFormat="1" ht="30.75" customHeight="1">
      <c r="A3" s="61" t="s">
        <v>303</v>
      </c>
      <c r="B3" s="64"/>
      <c r="C3" s="64"/>
      <c r="D3" s="64"/>
      <c r="E3" s="64"/>
      <c r="F3" s="64"/>
      <c r="G3" s="64"/>
      <c r="H3" s="64"/>
      <c r="I3" s="64"/>
      <c r="J3" s="64"/>
      <c r="K3" s="64"/>
      <c r="L3" s="64"/>
      <c r="M3" s="64"/>
      <c r="N3" s="64"/>
      <c r="O3" s="64"/>
      <c r="P3" s="54"/>
      <c r="Q3" s="54"/>
      <c r="R3" s="54"/>
      <c r="S3" s="54"/>
      <c r="T3" s="54"/>
      <c r="U3" s="54"/>
      <c r="V3" s="54"/>
      <c r="W3" s="54"/>
      <c r="X3" s="54"/>
      <c r="Y3" s="54"/>
      <c r="Z3" s="54"/>
      <c r="AA3" s="54"/>
      <c r="AB3" s="54"/>
      <c r="AC3" s="54"/>
      <c r="AD3" s="54"/>
      <c r="AE3" s="54"/>
      <c r="AF3" s="54"/>
      <c r="AG3" s="54"/>
    </row>
    <row r="4" spans="1:52">
      <c r="A4" s="63"/>
      <c r="B4" s="65"/>
      <c r="C4" s="65"/>
      <c r="D4" s="65"/>
      <c r="E4" s="63"/>
      <c r="F4" s="63"/>
      <c r="G4" s="63"/>
      <c r="H4" s="63"/>
      <c r="I4" s="63"/>
      <c r="J4" s="63"/>
      <c r="K4" s="63"/>
      <c r="L4" s="63"/>
      <c r="M4" s="63"/>
      <c r="N4" s="63"/>
      <c r="O4" s="63"/>
      <c r="AE4" s="51"/>
      <c r="AF4" s="51"/>
      <c r="AG4" s="51"/>
    </row>
    <row r="5" spans="1:52" ht="15" thickBot="1">
      <c r="A5" s="63"/>
      <c r="B5" s="63"/>
      <c r="C5" s="63"/>
      <c r="D5" s="65"/>
      <c r="E5" s="63"/>
      <c r="F5" s="63"/>
      <c r="G5" s="63"/>
      <c r="H5" s="63"/>
      <c r="I5" s="63"/>
      <c r="J5" s="63"/>
      <c r="K5" s="63"/>
      <c r="L5" s="63"/>
      <c r="M5" s="63"/>
      <c r="N5" s="63"/>
      <c r="O5" s="63"/>
      <c r="AE5" s="51"/>
      <c r="AF5" s="51"/>
      <c r="AG5" s="51"/>
      <c r="AW5" s="65" t="s">
        <v>56</v>
      </c>
      <c r="AX5" s="58"/>
    </row>
    <row r="6" spans="1:52" s="350" customFormat="1" ht="32.25" customHeight="1">
      <c r="A6" s="349"/>
      <c r="B6" s="953" t="s">
        <v>5</v>
      </c>
      <c r="C6" s="952"/>
      <c r="D6" s="952" t="s">
        <v>45</v>
      </c>
      <c r="E6" s="952" t="s">
        <v>38</v>
      </c>
      <c r="F6" s="952" t="s">
        <v>304</v>
      </c>
      <c r="G6" s="952" t="s">
        <v>59</v>
      </c>
      <c r="H6" s="952"/>
      <c r="I6" s="952"/>
      <c r="J6" s="952" t="s">
        <v>104</v>
      </c>
      <c r="K6" s="952"/>
      <c r="L6" s="952"/>
      <c r="M6" s="952" t="s">
        <v>105</v>
      </c>
      <c r="N6" s="952"/>
      <c r="O6" s="952"/>
      <c r="P6" s="950" t="s">
        <v>106</v>
      </c>
      <c r="Q6" s="950"/>
      <c r="R6" s="950"/>
      <c r="S6" s="950" t="s">
        <v>17</v>
      </c>
      <c r="T6" s="950"/>
      <c r="U6" s="950"/>
      <c r="V6" s="950" t="s">
        <v>13</v>
      </c>
      <c r="W6" s="950"/>
      <c r="X6" s="950"/>
      <c r="Y6" s="950"/>
      <c r="Z6" s="950"/>
      <c r="AA6" s="950"/>
      <c r="AB6" s="950"/>
      <c r="AC6" s="950"/>
      <c r="AD6" s="951"/>
      <c r="AE6" s="971" t="s">
        <v>107</v>
      </c>
      <c r="AF6" s="946"/>
      <c r="AG6" s="946"/>
      <c r="AH6" s="946" t="s">
        <v>108</v>
      </c>
      <c r="AI6" s="946"/>
      <c r="AJ6" s="946"/>
      <c r="AK6" s="946"/>
      <c r="AL6" s="946"/>
      <c r="AM6" s="946"/>
      <c r="AN6" s="946"/>
      <c r="AO6" s="946"/>
      <c r="AP6" s="946"/>
      <c r="AQ6" s="946"/>
      <c r="AR6" s="946"/>
      <c r="AS6" s="946"/>
      <c r="AT6" s="946"/>
      <c r="AU6" s="946"/>
      <c r="AV6" s="947"/>
      <c r="AW6" s="948" t="s">
        <v>23</v>
      </c>
      <c r="AX6" s="956" t="s">
        <v>24</v>
      </c>
      <c r="AY6" s="958" t="s">
        <v>109</v>
      </c>
    </row>
    <row r="7" spans="1:52" s="350" customFormat="1" ht="25.5" customHeight="1">
      <c r="A7" s="349"/>
      <c r="B7" s="954"/>
      <c r="C7" s="921"/>
      <c r="D7" s="921"/>
      <c r="E7" s="921"/>
      <c r="F7" s="921"/>
      <c r="G7" s="921"/>
      <c r="H7" s="921"/>
      <c r="I7" s="921"/>
      <c r="J7" s="921"/>
      <c r="K7" s="921"/>
      <c r="L7" s="921"/>
      <c r="M7" s="921"/>
      <c r="N7" s="921"/>
      <c r="O7" s="921"/>
      <c r="P7" s="775"/>
      <c r="Q7" s="775"/>
      <c r="R7" s="775"/>
      <c r="S7" s="775"/>
      <c r="T7" s="775"/>
      <c r="U7" s="775"/>
      <c r="V7" s="775" t="s">
        <v>54</v>
      </c>
      <c r="W7" s="775"/>
      <c r="X7" s="775"/>
      <c r="Y7" s="775" t="s">
        <v>72</v>
      </c>
      <c r="Z7" s="775"/>
      <c r="AA7" s="775"/>
      <c r="AB7" s="775" t="s">
        <v>97</v>
      </c>
      <c r="AC7" s="775"/>
      <c r="AD7" s="955"/>
      <c r="AE7" s="972"/>
      <c r="AF7" s="960"/>
      <c r="AG7" s="960"/>
      <c r="AH7" s="960" t="s">
        <v>25</v>
      </c>
      <c r="AI7" s="960"/>
      <c r="AJ7" s="960"/>
      <c r="AK7" s="960" t="s">
        <v>26</v>
      </c>
      <c r="AL7" s="960"/>
      <c r="AM7" s="960"/>
      <c r="AN7" s="960" t="s">
        <v>27</v>
      </c>
      <c r="AO7" s="960"/>
      <c r="AP7" s="960"/>
      <c r="AQ7" s="960" t="s">
        <v>28</v>
      </c>
      <c r="AR7" s="960"/>
      <c r="AS7" s="960"/>
      <c r="AT7" s="960" t="s">
        <v>29</v>
      </c>
      <c r="AU7" s="960"/>
      <c r="AV7" s="961"/>
      <c r="AW7" s="949"/>
      <c r="AX7" s="957"/>
      <c r="AY7" s="959"/>
    </row>
    <row r="8" spans="1:52" s="350" customFormat="1" ht="126" customHeight="1">
      <c r="A8" s="349"/>
      <c r="B8" s="66" t="s">
        <v>1</v>
      </c>
      <c r="C8" s="67" t="s">
        <v>20</v>
      </c>
      <c r="D8" s="921"/>
      <c r="E8" s="921"/>
      <c r="F8" s="921"/>
      <c r="G8" s="68" t="s">
        <v>9</v>
      </c>
      <c r="H8" s="68" t="s">
        <v>15</v>
      </c>
      <c r="I8" s="68" t="s">
        <v>16</v>
      </c>
      <c r="J8" s="68" t="s">
        <v>9</v>
      </c>
      <c r="K8" s="68" t="s">
        <v>15</v>
      </c>
      <c r="L8" s="68" t="s">
        <v>16</v>
      </c>
      <c r="M8" s="68" t="s">
        <v>9</v>
      </c>
      <c r="N8" s="68" t="s">
        <v>15</v>
      </c>
      <c r="O8" s="68" t="s">
        <v>16</v>
      </c>
      <c r="P8" s="18" t="s">
        <v>9</v>
      </c>
      <c r="Q8" s="18" t="s">
        <v>15</v>
      </c>
      <c r="R8" s="18" t="s">
        <v>16</v>
      </c>
      <c r="S8" s="18" t="s">
        <v>9</v>
      </c>
      <c r="T8" s="18" t="s">
        <v>15</v>
      </c>
      <c r="U8" s="18" t="s">
        <v>16</v>
      </c>
      <c r="V8" s="18" t="s">
        <v>9</v>
      </c>
      <c r="W8" s="18" t="s">
        <v>15</v>
      </c>
      <c r="X8" s="18" t="s">
        <v>16</v>
      </c>
      <c r="Y8" s="18" t="s">
        <v>9</v>
      </c>
      <c r="Z8" s="18" t="s">
        <v>15</v>
      </c>
      <c r="AA8" s="18" t="s">
        <v>16</v>
      </c>
      <c r="AB8" s="18" t="s">
        <v>9</v>
      </c>
      <c r="AC8" s="18" t="s">
        <v>15</v>
      </c>
      <c r="AD8" s="340" t="s">
        <v>16</v>
      </c>
      <c r="AE8" s="28" t="s">
        <v>9</v>
      </c>
      <c r="AF8" s="27" t="s">
        <v>15</v>
      </c>
      <c r="AG8" s="27" t="s">
        <v>16</v>
      </c>
      <c r="AH8" s="27" t="s">
        <v>9</v>
      </c>
      <c r="AI8" s="27" t="s">
        <v>15</v>
      </c>
      <c r="AJ8" s="27" t="s">
        <v>16</v>
      </c>
      <c r="AK8" s="27" t="s">
        <v>9</v>
      </c>
      <c r="AL8" s="27" t="s">
        <v>15</v>
      </c>
      <c r="AM8" s="27" t="s">
        <v>16</v>
      </c>
      <c r="AN8" s="27" t="s">
        <v>9</v>
      </c>
      <c r="AO8" s="27" t="s">
        <v>15</v>
      </c>
      <c r="AP8" s="27" t="s">
        <v>16</v>
      </c>
      <c r="AQ8" s="27" t="s">
        <v>9</v>
      </c>
      <c r="AR8" s="27" t="s">
        <v>15</v>
      </c>
      <c r="AS8" s="27" t="s">
        <v>16</v>
      </c>
      <c r="AT8" s="27" t="s">
        <v>9</v>
      </c>
      <c r="AU8" s="27" t="s">
        <v>15</v>
      </c>
      <c r="AV8" s="29" t="s">
        <v>16</v>
      </c>
      <c r="AW8" s="949"/>
      <c r="AX8" s="957"/>
      <c r="AY8" s="959"/>
    </row>
    <row r="9" spans="1:52" s="350" customFormat="1" ht="30.75" customHeight="1">
      <c r="B9" s="962">
        <v>1016</v>
      </c>
      <c r="C9" s="965">
        <v>11009</v>
      </c>
      <c r="D9" s="965" t="s">
        <v>559</v>
      </c>
      <c r="E9" s="968"/>
      <c r="F9" s="339" t="s">
        <v>559</v>
      </c>
      <c r="G9" s="343">
        <f>+G12</f>
        <v>9155000.0099999998</v>
      </c>
      <c r="H9" s="70">
        <f>+H12</f>
        <v>9155000.0099999998</v>
      </c>
      <c r="I9" s="70"/>
      <c r="J9" s="343">
        <f>+J12</f>
        <v>75066.339999999982</v>
      </c>
      <c r="K9" s="345">
        <f>+K12</f>
        <v>75066.339999999982</v>
      </c>
      <c r="L9" s="70"/>
      <c r="M9" s="343">
        <f>+M12</f>
        <v>419453.7699999999</v>
      </c>
      <c r="N9" s="345">
        <f>+N12</f>
        <v>419453.7699999999</v>
      </c>
      <c r="O9" s="70"/>
      <c r="P9" s="343">
        <f>+P12</f>
        <v>5093975</v>
      </c>
      <c r="Q9" s="70">
        <f>+Q12</f>
        <v>5093975</v>
      </c>
      <c r="R9" s="70"/>
      <c r="S9" s="343">
        <f>+S12</f>
        <v>3566504.9</v>
      </c>
      <c r="T9" s="345">
        <f>+T12</f>
        <v>3566504.9</v>
      </c>
      <c r="U9" s="70"/>
      <c r="V9" s="343">
        <f>+V12</f>
        <v>994840041</v>
      </c>
      <c r="W9" s="345">
        <f>+W12</f>
        <v>994840041</v>
      </c>
      <c r="X9" s="70"/>
      <c r="Y9" s="343">
        <f>+Y12</f>
        <v>356972311.24699992</v>
      </c>
      <c r="Z9" s="345">
        <f>+Z12</f>
        <v>941804.90000000037</v>
      </c>
      <c r="AA9" s="70"/>
      <c r="AB9" s="343">
        <f>AC9+AD9</f>
        <v>0</v>
      </c>
      <c r="AC9" s="345">
        <v>0</v>
      </c>
      <c r="AD9" s="31"/>
      <c r="AE9" s="30">
        <f>AF9+AG9</f>
        <v>0</v>
      </c>
      <c r="AF9" s="70"/>
      <c r="AG9" s="70"/>
      <c r="AH9" s="343">
        <v>248710010.25</v>
      </c>
      <c r="AI9" s="70">
        <v>248710010.25</v>
      </c>
      <c r="AJ9" s="70"/>
      <c r="AK9" s="343">
        <v>800094427</v>
      </c>
      <c r="AL9" s="70">
        <v>800094427</v>
      </c>
      <c r="AM9" s="70"/>
      <c r="AN9" s="343">
        <v>889614111.43000007</v>
      </c>
      <c r="AO9" s="70">
        <v>889614111.43000007</v>
      </c>
      <c r="AP9" s="70"/>
      <c r="AQ9" s="343">
        <v>994840041</v>
      </c>
      <c r="AR9" s="70">
        <v>994840041</v>
      </c>
      <c r="AS9" s="70"/>
      <c r="AT9" s="343">
        <v>994840041</v>
      </c>
      <c r="AU9" s="70">
        <v>994840041</v>
      </c>
      <c r="AV9" s="31"/>
      <c r="AW9" s="36"/>
      <c r="AX9" s="70"/>
      <c r="AY9" s="31"/>
    </row>
    <row r="10" spans="1:52" s="350" customFormat="1" ht="21" customHeight="1">
      <c r="B10" s="963"/>
      <c r="C10" s="966"/>
      <c r="D10" s="966"/>
      <c r="E10" s="969"/>
      <c r="F10" s="13" t="str">
        <f>[2]N2.Sevan!$D$9</f>
        <v>այդ թվում` ըստ կատարողների</v>
      </c>
      <c r="G10" s="339">
        <v>0</v>
      </c>
      <c r="H10" s="70">
        <v>0</v>
      </c>
      <c r="I10" s="70"/>
      <c r="J10" s="343">
        <f t="shared" ref="J10:J23" si="0">K10+L10</f>
        <v>0</v>
      </c>
      <c r="K10" s="345">
        <v>0</v>
      </c>
      <c r="L10" s="70"/>
      <c r="M10" s="343">
        <f t="shared" ref="M10:M22" si="1">N10+O10</f>
        <v>0</v>
      </c>
      <c r="N10" s="345">
        <v>0</v>
      </c>
      <c r="O10" s="70"/>
      <c r="P10" s="339">
        <f t="shared" ref="P10:P23" si="2">Q10+R10</f>
        <v>0</v>
      </c>
      <c r="Q10" s="70">
        <v>0</v>
      </c>
      <c r="R10" s="70"/>
      <c r="S10" s="343">
        <f t="shared" ref="S10:S23" si="3">T10+U10</f>
        <v>0</v>
      </c>
      <c r="T10" s="345">
        <v>0</v>
      </c>
      <c r="U10" s="70"/>
      <c r="V10" s="339">
        <f t="shared" ref="V10:V23" si="4">W10+X10</f>
        <v>0</v>
      </c>
      <c r="W10" s="70">
        <v>0</v>
      </c>
      <c r="X10" s="70"/>
      <c r="Y10" s="339">
        <f t="shared" ref="Y10:Y23" si="5">Z10+AA10</f>
        <v>0</v>
      </c>
      <c r="Z10" s="70">
        <v>0</v>
      </c>
      <c r="AA10" s="70"/>
      <c r="AB10" s="339">
        <f t="shared" ref="AB10:AB23" si="6">AC10+AD10</f>
        <v>0</v>
      </c>
      <c r="AC10" s="70">
        <v>0</v>
      </c>
      <c r="AD10" s="31"/>
      <c r="AE10" s="30">
        <f t="shared" ref="AE10:AE23" si="7">AF10+AG10</f>
        <v>0</v>
      </c>
      <c r="AF10" s="70"/>
      <c r="AG10" s="70"/>
      <c r="AH10" s="339">
        <v>0</v>
      </c>
      <c r="AI10" s="70">
        <v>0</v>
      </c>
      <c r="AJ10" s="70"/>
      <c r="AK10" s="339">
        <v>0</v>
      </c>
      <c r="AL10" s="70">
        <v>0</v>
      </c>
      <c r="AM10" s="70"/>
      <c r="AN10" s="339">
        <v>0</v>
      </c>
      <c r="AO10" s="70">
        <v>0</v>
      </c>
      <c r="AP10" s="70"/>
      <c r="AQ10" s="339">
        <v>0</v>
      </c>
      <c r="AR10" s="70">
        <v>0</v>
      </c>
      <c r="AS10" s="70"/>
      <c r="AT10" s="339">
        <v>0</v>
      </c>
      <c r="AU10" s="70">
        <v>0</v>
      </c>
      <c r="AV10" s="31"/>
      <c r="AW10" s="36"/>
      <c r="AX10" s="70"/>
      <c r="AY10" s="31"/>
    </row>
    <row r="11" spans="1:52" s="350" customFormat="1" ht="22.8">
      <c r="B11" s="963"/>
      <c r="C11" s="966"/>
      <c r="D11" s="966"/>
      <c r="E11" s="969"/>
      <c r="F11" s="347" t="str">
        <f>[2]N2.Sevan!$D$10</f>
        <v>ՀՀ  շրջակա միջավայրի նախարարություն</v>
      </c>
      <c r="G11" s="343">
        <v>0</v>
      </c>
      <c r="H11" s="70">
        <v>0</v>
      </c>
      <c r="I11" s="70"/>
      <c r="J11" s="343">
        <v>0</v>
      </c>
      <c r="K11" s="345">
        <v>0</v>
      </c>
      <c r="L11" s="70"/>
      <c r="M11" s="343">
        <v>0</v>
      </c>
      <c r="N11" s="345">
        <v>0</v>
      </c>
      <c r="O11" s="70"/>
      <c r="P11" s="343">
        <v>0</v>
      </c>
      <c r="Q11" s="70">
        <v>0</v>
      </c>
      <c r="R11" s="70"/>
      <c r="S11" s="343">
        <v>0</v>
      </c>
      <c r="T11" s="345">
        <v>0</v>
      </c>
      <c r="U11" s="70"/>
      <c r="V11" s="343">
        <v>0</v>
      </c>
      <c r="W11" s="70">
        <v>0</v>
      </c>
      <c r="X11" s="70"/>
      <c r="Y11" s="343">
        <v>0</v>
      </c>
      <c r="Z11" s="345">
        <v>0</v>
      </c>
      <c r="AA11" s="70"/>
      <c r="AB11" s="343">
        <f>+AB12</f>
        <v>0</v>
      </c>
      <c r="AC11" s="70">
        <v>0</v>
      </c>
      <c r="AD11" s="31"/>
      <c r="AE11" s="30">
        <f t="shared" si="7"/>
        <v>0</v>
      </c>
      <c r="AF11" s="70"/>
      <c r="AG11" s="70"/>
      <c r="AH11" s="343">
        <v>0</v>
      </c>
      <c r="AI11" s="70">
        <v>0</v>
      </c>
      <c r="AJ11" s="70"/>
      <c r="AK11" s="343">
        <v>0</v>
      </c>
      <c r="AL11" s="70">
        <v>0</v>
      </c>
      <c r="AM11" s="70"/>
      <c r="AN11" s="343">
        <v>0</v>
      </c>
      <c r="AO11" s="70">
        <v>0</v>
      </c>
      <c r="AP11" s="70"/>
      <c r="AQ11" s="343">
        <v>0</v>
      </c>
      <c r="AR11" s="70">
        <v>0</v>
      </c>
      <c r="AS11" s="70"/>
      <c r="AT11" s="343">
        <v>0</v>
      </c>
      <c r="AU11" s="70">
        <v>0</v>
      </c>
      <c r="AV11" s="31"/>
      <c r="AW11" s="36"/>
      <c r="AX11" s="70"/>
      <c r="AY11" s="31"/>
      <c r="AZ11" s="351"/>
    </row>
    <row r="12" spans="1:52" s="350" customFormat="1" ht="17.25" customHeight="1">
      <c r="B12" s="963"/>
      <c r="C12" s="966"/>
      <c r="D12" s="966"/>
      <c r="E12" s="969"/>
      <c r="F12" s="347" t="s">
        <v>560</v>
      </c>
      <c r="G12" s="343">
        <f>SUM(G13:G23)</f>
        <v>9155000.0099999998</v>
      </c>
      <c r="H12" s="70">
        <f>SUM(H13:H23)</f>
        <v>9155000.0099999998</v>
      </c>
      <c r="I12" s="70"/>
      <c r="J12" s="343">
        <f>SUM(J13:J23)</f>
        <v>75066.339999999982</v>
      </c>
      <c r="K12" s="345">
        <f>SUM(K13:K23)</f>
        <v>75066.339999999982</v>
      </c>
      <c r="L12" s="70"/>
      <c r="M12" s="343">
        <f>SUM(M13:M23)</f>
        <v>419453.7699999999</v>
      </c>
      <c r="N12" s="345">
        <f>SUM(N13:N23)</f>
        <v>419453.7699999999</v>
      </c>
      <c r="O12" s="70"/>
      <c r="P12" s="343">
        <f>SUM(P13:P23)</f>
        <v>5093975</v>
      </c>
      <c r="Q12" s="70">
        <f>SUM(Q13:Q23)</f>
        <v>5093975</v>
      </c>
      <c r="R12" s="70"/>
      <c r="S12" s="343">
        <f>SUM(S13:S23)</f>
        <v>3566504.9</v>
      </c>
      <c r="T12" s="345">
        <f>SUM(T13:T23)</f>
        <v>3566504.9</v>
      </c>
      <c r="U12" s="70"/>
      <c r="V12" s="343">
        <f>SUM(V13:V23)</f>
        <v>994840041</v>
      </c>
      <c r="W12" s="70">
        <f>SUM(W13:W23)</f>
        <v>994840041</v>
      </c>
      <c r="X12" s="70"/>
      <c r="Y12" s="343">
        <f>SUM(Y13:Y23)</f>
        <v>356972311.24699992</v>
      </c>
      <c r="Z12" s="345">
        <v>941804.90000000037</v>
      </c>
      <c r="AA12" s="70"/>
      <c r="AB12" s="343">
        <f>SUM(AB13:AB23)</f>
        <v>0</v>
      </c>
      <c r="AC12" s="70">
        <v>0</v>
      </c>
      <c r="AD12" s="31"/>
      <c r="AE12" s="30">
        <f t="shared" si="7"/>
        <v>0</v>
      </c>
      <c r="AF12" s="70"/>
      <c r="AG12" s="70"/>
      <c r="AH12" s="343">
        <v>248710010.25</v>
      </c>
      <c r="AI12" s="70">
        <v>248710010.25</v>
      </c>
      <c r="AJ12" s="70"/>
      <c r="AK12" s="343">
        <v>800094427</v>
      </c>
      <c r="AL12" s="70">
        <v>800094427</v>
      </c>
      <c r="AM12" s="70"/>
      <c r="AN12" s="343">
        <v>889614111.43000007</v>
      </c>
      <c r="AO12" s="70">
        <v>889614111.43000007</v>
      </c>
      <c r="AP12" s="70"/>
      <c r="AQ12" s="343">
        <v>994840041</v>
      </c>
      <c r="AR12" s="70">
        <v>994840041</v>
      </c>
      <c r="AS12" s="70"/>
      <c r="AT12" s="343">
        <v>994840041</v>
      </c>
      <c r="AU12" s="70">
        <v>994840041</v>
      </c>
      <c r="AV12" s="31"/>
      <c r="AW12" s="36"/>
      <c r="AX12" s="70"/>
      <c r="AY12" s="31"/>
      <c r="AZ12" s="351"/>
    </row>
    <row r="13" spans="1:52" s="350" customFormat="1" ht="32.4">
      <c r="B13" s="963"/>
      <c r="C13" s="966"/>
      <c r="D13" s="966"/>
      <c r="E13" s="969"/>
      <c r="F13" s="13" t="s">
        <v>561</v>
      </c>
      <c r="G13" s="343">
        <f t="shared" ref="G13:G23" si="8">H13+I13</f>
        <v>740455.01</v>
      </c>
      <c r="H13" s="70">
        <v>740455.01</v>
      </c>
      <c r="I13" s="70"/>
      <c r="J13" s="343">
        <f t="shared" si="0"/>
        <v>31300.71</v>
      </c>
      <c r="K13" s="345">
        <v>31300.71</v>
      </c>
      <c r="L13" s="70"/>
      <c r="M13" s="343">
        <f t="shared" si="1"/>
        <v>115561.18</v>
      </c>
      <c r="N13" s="345">
        <v>115561.18</v>
      </c>
      <c r="O13" s="70"/>
      <c r="P13" s="339">
        <f t="shared" si="2"/>
        <v>213375</v>
      </c>
      <c r="Q13" s="70">
        <v>213375</v>
      </c>
      <c r="R13" s="70"/>
      <c r="S13" s="343">
        <f t="shared" si="3"/>
        <v>380218.12000000011</v>
      </c>
      <c r="T13" s="345">
        <f t="shared" ref="T13:T22" si="9">+H13-K13-N13-Q13</f>
        <v>380218.12000000011</v>
      </c>
      <c r="U13" s="70"/>
      <c r="V13" s="339">
        <f t="shared" si="4"/>
        <v>69817326</v>
      </c>
      <c r="W13" s="70">
        <f>184200*379.03</f>
        <v>69817326</v>
      </c>
      <c r="X13" s="70"/>
      <c r="Y13" s="343">
        <f t="shared" si="5"/>
        <v>74296748.023599997</v>
      </c>
      <c r="Z13" s="345">
        <f>196018.12*379.03</f>
        <v>74296748.023599997</v>
      </c>
      <c r="AA13" s="70"/>
      <c r="AB13" s="339">
        <f t="shared" si="6"/>
        <v>0</v>
      </c>
      <c r="AC13" s="70">
        <v>0</v>
      </c>
      <c r="AD13" s="31"/>
      <c r="AE13" s="30">
        <f t="shared" si="7"/>
        <v>0</v>
      </c>
      <c r="AF13" s="70"/>
      <c r="AG13" s="70"/>
      <c r="AH13" s="339">
        <v>17454331.5</v>
      </c>
      <c r="AI13" s="70">
        <v>17454331.5</v>
      </c>
      <c r="AJ13" s="70"/>
      <c r="AK13" s="339">
        <v>34908663</v>
      </c>
      <c r="AL13" s="70">
        <v>34908663</v>
      </c>
      <c r="AM13" s="70"/>
      <c r="AN13" s="339">
        <v>52362994.5</v>
      </c>
      <c r="AO13" s="70">
        <v>52362994.5</v>
      </c>
      <c r="AP13" s="70"/>
      <c r="AQ13" s="339">
        <v>69817326</v>
      </c>
      <c r="AR13" s="70">
        <v>69817326</v>
      </c>
      <c r="AS13" s="70"/>
      <c r="AT13" s="339">
        <v>69817326</v>
      </c>
      <c r="AU13" s="70">
        <v>69817326</v>
      </c>
      <c r="AV13" s="31"/>
      <c r="AW13" s="36"/>
      <c r="AX13" s="70"/>
      <c r="AY13" s="31"/>
      <c r="AZ13" s="351"/>
    </row>
    <row r="14" spans="1:52" s="350" customFormat="1" ht="10.8">
      <c r="B14" s="963"/>
      <c r="C14" s="966"/>
      <c r="D14" s="966"/>
      <c r="E14" s="969"/>
      <c r="F14" s="13" t="s">
        <v>562</v>
      </c>
      <c r="G14" s="343">
        <f t="shared" si="8"/>
        <v>16550</v>
      </c>
      <c r="H14" s="70">
        <v>16550</v>
      </c>
      <c r="I14" s="70"/>
      <c r="J14" s="343">
        <f t="shared" si="0"/>
        <v>928.44</v>
      </c>
      <c r="K14" s="345">
        <v>928.44</v>
      </c>
      <c r="L14" s="70"/>
      <c r="M14" s="343">
        <f t="shared" si="1"/>
        <v>3018.14</v>
      </c>
      <c r="N14" s="345">
        <v>3018.14</v>
      </c>
      <c r="O14" s="70"/>
      <c r="P14" s="339">
        <f t="shared" si="2"/>
        <v>2500</v>
      </c>
      <c r="Q14" s="70">
        <v>2500</v>
      </c>
      <c r="R14" s="70"/>
      <c r="S14" s="343">
        <f t="shared" si="3"/>
        <v>10103.42</v>
      </c>
      <c r="T14" s="345">
        <f t="shared" si="9"/>
        <v>10103.42</v>
      </c>
      <c r="U14" s="70"/>
      <c r="V14" s="339">
        <f t="shared" si="4"/>
        <v>2084664.9999999998</v>
      </c>
      <c r="W14" s="70">
        <f>5500*379.03</f>
        <v>2084664.9999999998</v>
      </c>
      <c r="X14" s="70"/>
      <c r="Y14" s="343">
        <f t="shared" si="5"/>
        <v>1744834.2825999998</v>
      </c>
      <c r="Z14" s="345">
        <f>4603.42*379.03</f>
        <v>1744834.2825999998</v>
      </c>
      <c r="AA14" s="70"/>
      <c r="AB14" s="339">
        <f t="shared" si="6"/>
        <v>0</v>
      </c>
      <c r="AC14" s="70">
        <v>0</v>
      </c>
      <c r="AD14" s="31"/>
      <c r="AE14" s="30">
        <f t="shared" si="7"/>
        <v>0</v>
      </c>
      <c r="AF14" s="70"/>
      <c r="AG14" s="70"/>
      <c r="AH14" s="339">
        <v>521166.24999999994</v>
      </c>
      <c r="AI14" s="70">
        <v>521166.24999999994</v>
      </c>
      <c r="AJ14" s="70"/>
      <c r="AK14" s="339">
        <v>947574.99999999988</v>
      </c>
      <c r="AL14" s="70">
        <v>947574.99999999988</v>
      </c>
      <c r="AM14" s="70"/>
      <c r="AN14" s="339">
        <v>1516120</v>
      </c>
      <c r="AO14" s="70">
        <v>1516120</v>
      </c>
      <c r="AP14" s="70"/>
      <c r="AQ14" s="339">
        <v>2084664.9999999998</v>
      </c>
      <c r="AR14" s="70">
        <v>2084664.9999999998</v>
      </c>
      <c r="AS14" s="70"/>
      <c r="AT14" s="339">
        <v>2084664.9999999998</v>
      </c>
      <c r="AU14" s="70">
        <v>2084664.9999999998</v>
      </c>
      <c r="AV14" s="31"/>
      <c r="AW14" s="36"/>
      <c r="AX14" s="70"/>
      <c r="AY14" s="31"/>
      <c r="AZ14" s="351"/>
    </row>
    <row r="15" spans="1:52" s="350" customFormat="1" ht="21.6">
      <c r="B15" s="963"/>
      <c r="C15" s="966"/>
      <c r="D15" s="966"/>
      <c r="E15" s="969"/>
      <c r="F15" s="13" t="s">
        <v>563</v>
      </c>
      <c r="G15" s="343">
        <f t="shared" si="8"/>
        <v>20000</v>
      </c>
      <c r="H15" s="70">
        <v>20000</v>
      </c>
      <c r="I15" s="70"/>
      <c r="J15" s="343">
        <f t="shared" si="0"/>
        <v>494.91</v>
      </c>
      <c r="K15" s="345">
        <v>494.91</v>
      </c>
      <c r="L15" s="70"/>
      <c r="M15" s="343">
        <f t="shared" si="1"/>
        <v>1234.5999999999999</v>
      </c>
      <c r="N15" s="345">
        <v>1234.5999999999999</v>
      </c>
      <c r="O15" s="70"/>
      <c r="P15" s="339">
        <f t="shared" si="2"/>
        <v>5000</v>
      </c>
      <c r="Q15" s="70">
        <v>5000</v>
      </c>
      <c r="R15" s="70"/>
      <c r="S15" s="343">
        <f t="shared" si="3"/>
        <v>13270.490000000002</v>
      </c>
      <c r="T15" s="345">
        <f t="shared" si="9"/>
        <v>13270.490000000002</v>
      </c>
      <c r="U15" s="70"/>
      <c r="V15" s="339">
        <f t="shared" si="4"/>
        <v>2653210</v>
      </c>
      <c r="W15" s="70">
        <f>7000*379.03</f>
        <v>2653210</v>
      </c>
      <c r="X15" s="70"/>
      <c r="Y15" s="343">
        <f t="shared" si="5"/>
        <v>2376703.8246999998</v>
      </c>
      <c r="Z15" s="345">
        <f>6270.49*379.03</f>
        <v>2376703.8246999998</v>
      </c>
      <c r="AA15" s="70"/>
      <c r="AB15" s="339">
        <f t="shared" si="6"/>
        <v>0</v>
      </c>
      <c r="AC15" s="70">
        <v>0</v>
      </c>
      <c r="AD15" s="31"/>
      <c r="AE15" s="30">
        <f t="shared" si="7"/>
        <v>0</v>
      </c>
      <c r="AF15" s="70"/>
      <c r="AG15" s="70"/>
      <c r="AH15" s="339">
        <v>663302.5</v>
      </c>
      <c r="AI15" s="70">
        <v>663302.5</v>
      </c>
      <c r="AJ15" s="70"/>
      <c r="AK15" s="339">
        <v>1137090</v>
      </c>
      <c r="AL15" s="70">
        <v>1137090</v>
      </c>
      <c r="AM15" s="70"/>
      <c r="AN15" s="339">
        <v>1895149.9999999998</v>
      </c>
      <c r="AO15" s="70">
        <v>1895149.9999999998</v>
      </c>
      <c r="AP15" s="70"/>
      <c r="AQ15" s="339">
        <v>2653210</v>
      </c>
      <c r="AR15" s="70">
        <v>2653210</v>
      </c>
      <c r="AS15" s="70"/>
      <c r="AT15" s="339">
        <v>2653210</v>
      </c>
      <c r="AU15" s="70">
        <v>2653210</v>
      </c>
      <c r="AV15" s="31"/>
      <c r="AW15" s="36"/>
      <c r="AX15" s="70"/>
      <c r="AY15" s="31"/>
      <c r="AZ15" s="351"/>
    </row>
    <row r="16" spans="1:52" s="350" customFormat="1" ht="21.6">
      <c r="B16" s="963"/>
      <c r="C16" s="966"/>
      <c r="D16" s="966"/>
      <c r="E16" s="969"/>
      <c r="F16" s="348" t="s">
        <v>564</v>
      </c>
      <c r="G16" s="343">
        <f t="shared" si="8"/>
        <v>1820000</v>
      </c>
      <c r="H16" s="70">
        <v>1820000</v>
      </c>
      <c r="I16" s="70"/>
      <c r="J16" s="343">
        <f t="shared" si="0"/>
        <v>27781.09</v>
      </c>
      <c r="K16" s="345">
        <v>27781.09</v>
      </c>
      <c r="L16" s="70"/>
      <c r="M16" s="343">
        <f t="shared" si="1"/>
        <v>204652</v>
      </c>
      <c r="N16" s="345">
        <v>204652</v>
      </c>
      <c r="O16" s="70"/>
      <c r="P16" s="339">
        <f t="shared" si="2"/>
        <v>472000</v>
      </c>
      <c r="Q16" s="70">
        <v>472000</v>
      </c>
      <c r="R16" s="70"/>
      <c r="S16" s="343">
        <f t="shared" si="3"/>
        <v>1115566.9099999999</v>
      </c>
      <c r="T16" s="345">
        <f t="shared" si="9"/>
        <v>1115566.9099999999</v>
      </c>
      <c r="U16" s="70"/>
      <c r="V16" s="339">
        <f t="shared" si="4"/>
        <v>235377629.99999997</v>
      </c>
      <c r="W16" s="70">
        <f>621000*379.03</f>
        <v>235377629.99999997</v>
      </c>
      <c r="X16" s="70"/>
      <c r="Y16" s="343">
        <f t="shared" si="5"/>
        <v>187455695.89729998</v>
      </c>
      <c r="Z16" s="345">
        <f>494566.91*379.03</f>
        <v>187455695.89729998</v>
      </c>
      <c r="AA16" s="70"/>
      <c r="AB16" s="339">
        <f t="shared" si="6"/>
        <v>0</v>
      </c>
      <c r="AC16" s="70">
        <v>0</v>
      </c>
      <c r="AD16" s="31"/>
      <c r="AE16" s="30">
        <f t="shared" si="7"/>
        <v>0</v>
      </c>
      <c r="AF16" s="70"/>
      <c r="AG16" s="70"/>
      <c r="AH16" s="339">
        <v>58844407.499999993</v>
      </c>
      <c r="AI16" s="70">
        <v>58844407.499999993</v>
      </c>
      <c r="AJ16" s="70"/>
      <c r="AK16" s="339">
        <v>121479114.99999999</v>
      </c>
      <c r="AL16" s="70">
        <v>121479114.99999999</v>
      </c>
      <c r="AM16" s="70"/>
      <c r="AN16" s="339">
        <v>168933671</v>
      </c>
      <c r="AO16" s="70">
        <v>168933671</v>
      </c>
      <c r="AP16" s="70"/>
      <c r="AQ16" s="339">
        <v>235377629.99999997</v>
      </c>
      <c r="AR16" s="70">
        <v>235377629.99999997</v>
      </c>
      <c r="AS16" s="70"/>
      <c r="AT16" s="339">
        <v>235377629.99999997</v>
      </c>
      <c r="AU16" s="70">
        <v>235377629.99999997</v>
      </c>
      <c r="AV16" s="31"/>
      <c r="AW16" s="36"/>
      <c r="AX16" s="70"/>
      <c r="AY16" s="31"/>
      <c r="AZ16" s="351"/>
    </row>
    <row r="17" spans="1:52" s="350" customFormat="1" ht="21.6">
      <c r="B17" s="963"/>
      <c r="C17" s="966"/>
      <c r="D17" s="966"/>
      <c r="E17" s="969"/>
      <c r="F17" s="13" t="s">
        <v>565</v>
      </c>
      <c r="G17" s="343">
        <f t="shared" si="8"/>
        <v>15000</v>
      </c>
      <c r="H17" s="70">
        <v>15000</v>
      </c>
      <c r="I17" s="70"/>
      <c r="J17" s="343">
        <f t="shared" si="0"/>
        <v>0</v>
      </c>
      <c r="K17" s="345">
        <v>0</v>
      </c>
      <c r="L17" s="70"/>
      <c r="M17" s="343">
        <f t="shared" si="1"/>
        <v>1088.5</v>
      </c>
      <c r="N17" s="345">
        <v>1088.5</v>
      </c>
      <c r="O17" s="70"/>
      <c r="P17" s="339">
        <f t="shared" si="2"/>
        <v>4000</v>
      </c>
      <c r="Q17" s="70">
        <v>4000</v>
      </c>
      <c r="R17" s="70"/>
      <c r="S17" s="343">
        <f t="shared" si="3"/>
        <v>9911.5</v>
      </c>
      <c r="T17" s="345">
        <f t="shared" si="9"/>
        <v>9911.5</v>
      </c>
      <c r="U17" s="70"/>
      <c r="V17" s="339">
        <f t="shared" si="4"/>
        <v>1516120</v>
      </c>
      <c r="W17" s="70">
        <f>4000*379.03</f>
        <v>1516120</v>
      </c>
      <c r="X17" s="70"/>
      <c r="Y17" s="343">
        <f t="shared" si="5"/>
        <v>2240635.8449999997</v>
      </c>
      <c r="Z17" s="345">
        <f>5911.5*379.03</f>
        <v>2240635.8449999997</v>
      </c>
      <c r="AA17" s="70"/>
      <c r="AB17" s="339">
        <f t="shared" si="6"/>
        <v>0</v>
      </c>
      <c r="AC17" s="70">
        <v>0</v>
      </c>
      <c r="AD17" s="31"/>
      <c r="AE17" s="30">
        <f t="shared" si="7"/>
        <v>0</v>
      </c>
      <c r="AF17" s="70"/>
      <c r="AG17" s="70"/>
      <c r="AH17" s="339">
        <v>379030</v>
      </c>
      <c r="AI17" s="70">
        <v>379030</v>
      </c>
      <c r="AJ17" s="70"/>
      <c r="AK17" s="339">
        <v>758060</v>
      </c>
      <c r="AL17" s="70">
        <v>758060</v>
      </c>
      <c r="AM17" s="70"/>
      <c r="AN17" s="339">
        <v>1137090</v>
      </c>
      <c r="AO17" s="70">
        <v>1137090</v>
      </c>
      <c r="AP17" s="70"/>
      <c r="AQ17" s="339">
        <v>1516120</v>
      </c>
      <c r="AR17" s="70">
        <v>1516120</v>
      </c>
      <c r="AS17" s="70"/>
      <c r="AT17" s="339">
        <v>1516120</v>
      </c>
      <c r="AU17" s="70">
        <v>1516120</v>
      </c>
      <c r="AV17" s="31"/>
      <c r="AW17" s="36"/>
      <c r="AX17" s="70"/>
      <c r="AY17" s="31"/>
      <c r="AZ17" s="351"/>
    </row>
    <row r="18" spans="1:52" s="350" customFormat="1" ht="21.6">
      <c r="B18" s="963"/>
      <c r="C18" s="966"/>
      <c r="D18" s="966"/>
      <c r="E18" s="969"/>
      <c r="F18" s="13" t="s">
        <v>566</v>
      </c>
      <c r="G18" s="343">
        <f t="shared" si="8"/>
        <v>80000</v>
      </c>
      <c r="H18" s="70">
        <v>80000</v>
      </c>
      <c r="I18" s="70"/>
      <c r="J18" s="343">
        <f t="shared" si="0"/>
        <v>4838.92</v>
      </c>
      <c r="K18" s="345">
        <v>4838.92</v>
      </c>
      <c r="L18" s="70"/>
      <c r="M18" s="343">
        <f t="shared" si="1"/>
        <v>5129.8</v>
      </c>
      <c r="N18" s="345">
        <v>5129.8</v>
      </c>
      <c r="O18" s="70"/>
      <c r="P18" s="339">
        <f t="shared" si="2"/>
        <v>21000</v>
      </c>
      <c r="Q18" s="70">
        <v>21000</v>
      </c>
      <c r="R18" s="70"/>
      <c r="S18" s="343">
        <f t="shared" si="3"/>
        <v>49031.28</v>
      </c>
      <c r="T18" s="345">
        <f t="shared" si="9"/>
        <v>49031.28</v>
      </c>
      <c r="U18" s="70"/>
      <c r="V18" s="339">
        <f t="shared" si="4"/>
        <v>9475750</v>
      </c>
      <c r="W18" s="70">
        <f>25000*379.03</f>
        <v>9475750</v>
      </c>
      <c r="X18" s="70"/>
      <c r="Y18" s="343">
        <f t="shared" si="5"/>
        <v>9108576.0583999995</v>
      </c>
      <c r="Z18" s="345">
        <f>24031.28*379.03</f>
        <v>9108576.0583999995</v>
      </c>
      <c r="AA18" s="70"/>
      <c r="AB18" s="339">
        <f t="shared" si="6"/>
        <v>0</v>
      </c>
      <c r="AC18" s="70">
        <v>0</v>
      </c>
      <c r="AD18" s="31"/>
      <c r="AE18" s="30">
        <f t="shared" si="7"/>
        <v>0</v>
      </c>
      <c r="AF18" s="70"/>
      <c r="AG18" s="70"/>
      <c r="AH18" s="339">
        <v>2368937.5</v>
      </c>
      <c r="AI18" s="70">
        <v>2368937.5</v>
      </c>
      <c r="AJ18" s="70"/>
      <c r="AK18" s="339">
        <v>4548360</v>
      </c>
      <c r="AL18" s="70">
        <v>4548360</v>
      </c>
      <c r="AM18" s="70"/>
      <c r="AN18" s="339">
        <v>6834289.9299999997</v>
      </c>
      <c r="AO18" s="70">
        <v>6834289.9299999997</v>
      </c>
      <c r="AP18" s="70"/>
      <c r="AQ18" s="339">
        <v>9475750</v>
      </c>
      <c r="AR18" s="70">
        <v>9475750</v>
      </c>
      <c r="AS18" s="70"/>
      <c r="AT18" s="339">
        <v>9475750</v>
      </c>
      <c r="AU18" s="70">
        <v>9475750</v>
      </c>
      <c r="AV18" s="31"/>
      <c r="AW18" s="36"/>
      <c r="AX18" s="70"/>
      <c r="AY18" s="31"/>
      <c r="AZ18" s="351"/>
    </row>
    <row r="19" spans="1:52" s="350" customFormat="1" ht="21.6">
      <c r="B19" s="963"/>
      <c r="C19" s="966"/>
      <c r="D19" s="966"/>
      <c r="E19" s="969"/>
      <c r="F19" s="13" t="s">
        <v>567</v>
      </c>
      <c r="G19" s="343">
        <f t="shared" si="8"/>
        <v>5862450</v>
      </c>
      <c r="H19" s="70">
        <v>5862450</v>
      </c>
      <c r="I19" s="70"/>
      <c r="J19" s="343">
        <f t="shared" si="0"/>
        <v>5000.51</v>
      </c>
      <c r="K19" s="345">
        <v>5000.51</v>
      </c>
      <c r="L19" s="70"/>
      <c r="M19" s="343">
        <f t="shared" si="1"/>
        <v>0</v>
      </c>
      <c r="N19" s="345">
        <v>0</v>
      </c>
      <c r="O19" s="70"/>
      <c r="P19" s="339">
        <f t="shared" si="2"/>
        <v>4139600</v>
      </c>
      <c r="Q19" s="70">
        <v>4139600</v>
      </c>
      <c r="R19" s="70"/>
      <c r="S19" s="343">
        <f t="shared" si="3"/>
        <v>1717849.4900000002</v>
      </c>
      <c r="T19" s="345">
        <f t="shared" si="9"/>
        <v>1717849.4900000002</v>
      </c>
      <c r="U19" s="70"/>
      <c r="V19" s="339">
        <f t="shared" si="4"/>
        <v>599398042</v>
      </c>
      <c r="W19" s="70">
        <f>1581400*379.03</f>
        <v>599398042</v>
      </c>
      <c r="X19" s="70"/>
      <c r="Y19" s="343">
        <f t="shared" si="5"/>
        <v>51718450.194699995</v>
      </c>
      <c r="Z19" s="345">
        <f>136449.49*379.03</f>
        <v>51718450.194699995</v>
      </c>
      <c r="AA19" s="70"/>
      <c r="AB19" s="339">
        <f t="shared" si="6"/>
        <v>0</v>
      </c>
      <c r="AC19" s="70">
        <v>0</v>
      </c>
      <c r="AD19" s="31"/>
      <c r="AE19" s="30">
        <f t="shared" si="7"/>
        <v>0</v>
      </c>
      <c r="AF19" s="70"/>
      <c r="AG19" s="70"/>
      <c r="AH19" s="339">
        <v>149849510.5</v>
      </c>
      <c r="AI19" s="70">
        <v>149849510.5</v>
      </c>
      <c r="AJ19" s="70"/>
      <c r="AK19" s="339">
        <v>599398042</v>
      </c>
      <c r="AL19" s="70">
        <v>599398042</v>
      </c>
      <c r="AM19" s="70"/>
      <c r="AN19" s="339">
        <v>599398042</v>
      </c>
      <c r="AO19" s="345">
        <v>599398042</v>
      </c>
      <c r="AP19" s="70"/>
      <c r="AQ19" s="339">
        <v>599398042</v>
      </c>
      <c r="AR19" s="70">
        <v>599398042</v>
      </c>
      <c r="AS19" s="70"/>
      <c r="AT19" s="339">
        <v>599398042</v>
      </c>
      <c r="AU19" s="70">
        <v>599398042</v>
      </c>
      <c r="AV19" s="31"/>
      <c r="AW19" s="36"/>
      <c r="AX19" s="70"/>
      <c r="AY19" s="31"/>
      <c r="AZ19" s="351"/>
    </row>
    <row r="20" spans="1:52" s="350" customFormat="1" ht="21.6">
      <c r="B20" s="963"/>
      <c r="C20" s="966"/>
      <c r="D20" s="966"/>
      <c r="E20" s="969"/>
      <c r="F20" s="13" t="s">
        <v>568</v>
      </c>
      <c r="G20" s="343">
        <f t="shared" si="8"/>
        <v>4920</v>
      </c>
      <c r="H20" s="70">
        <v>4920</v>
      </c>
      <c r="I20" s="70"/>
      <c r="J20" s="343">
        <f t="shared" si="0"/>
        <v>0</v>
      </c>
      <c r="K20" s="345">
        <v>0</v>
      </c>
      <c r="L20" s="70"/>
      <c r="M20" s="343">
        <f t="shared" si="1"/>
        <v>328.1</v>
      </c>
      <c r="N20" s="345">
        <v>328.1</v>
      </c>
      <c r="O20" s="70"/>
      <c r="P20" s="339">
        <f t="shared" si="2"/>
        <v>1500</v>
      </c>
      <c r="Q20" s="70">
        <v>1500</v>
      </c>
      <c r="R20" s="70"/>
      <c r="S20" s="343">
        <f t="shared" si="3"/>
        <v>3091.8999999999996</v>
      </c>
      <c r="T20" s="345">
        <f t="shared" si="9"/>
        <v>3091.8999999999996</v>
      </c>
      <c r="U20" s="70"/>
      <c r="V20" s="339">
        <f t="shared" si="4"/>
        <v>568545</v>
      </c>
      <c r="W20" s="70">
        <f>1500*379.03</f>
        <v>568545</v>
      </c>
      <c r="X20" s="70"/>
      <c r="Y20" s="343">
        <f t="shared" si="5"/>
        <v>603377.85699999996</v>
      </c>
      <c r="Z20" s="345">
        <f>1591.9*379.03</f>
        <v>603377.85699999996</v>
      </c>
      <c r="AA20" s="70"/>
      <c r="AB20" s="339">
        <f t="shared" si="6"/>
        <v>0</v>
      </c>
      <c r="AC20" s="70">
        <v>0</v>
      </c>
      <c r="AD20" s="31"/>
      <c r="AE20" s="30">
        <f t="shared" si="7"/>
        <v>0</v>
      </c>
      <c r="AF20" s="70"/>
      <c r="AG20" s="70"/>
      <c r="AH20" s="339">
        <v>142136.25</v>
      </c>
      <c r="AI20" s="70">
        <v>142136.25</v>
      </c>
      <c r="AJ20" s="70"/>
      <c r="AK20" s="339">
        <v>265321</v>
      </c>
      <c r="AL20" s="70">
        <v>265321</v>
      </c>
      <c r="AM20" s="70"/>
      <c r="AN20" s="339">
        <v>416932.99999999994</v>
      </c>
      <c r="AO20" s="70">
        <v>416932.99999999994</v>
      </c>
      <c r="AP20" s="70"/>
      <c r="AQ20" s="339">
        <v>568545</v>
      </c>
      <c r="AR20" s="70">
        <v>568545</v>
      </c>
      <c r="AS20" s="70"/>
      <c r="AT20" s="339">
        <v>568545</v>
      </c>
      <c r="AU20" s="70">
        <v>568545</v>
      </c>
      <c r="AV20" s="31"/>
      <c r="AW20" s="36"/>
      <c r="AX20" s="70"/>
      <c r="AY20" s="31"/>
      <c r="AZ20" s="351"/>
    </row>
    <row r="21" spans="1:52" s="350" customFormat="1" ht="10.8">
      <c r="B21" s="963"/>
      <c r="C21" s="966"/>
      <c r="D21" s="966"/>
      <c r="E21" s="969"/>
      <c r="F21" s="13" t="s">
        <v>569</v>
      </c>
      <c r="G21" s="343">
        <f t="shared" si="8"/>
        <v>14000</v>
      </c>
      <c r="H21" s="70">
        <v>14000</v>
      </c>
      <c r="I21" s="70"/>
      <c r="J21" s="343">
        <f t="shared" si="0"/>
        <v>0</v>
      </c>
      <c r="K21" s="345">
        <v>0</v>
      </c>
      <c r="L21" s="70"/>
      <c r="M21" s="343">
        <f t="shared" si="1"/>
        <v>647.6</v>
      </c>
      <c r="N21" s="345">
        <v>647.6</v>
      </c>
      <c r="O21" s="70"/>
      <c r="P21" s="339">
        <f t="shared" si="2"/>
        <v>5000</v>
      </c>
      <c r="Q21" s="70">
        <v>5000</v>
      </c>
      <c r="R21" s="70"/>
      <c r="S21" s="343">
        <f t="shared" si="3"/>
        <v>8352.4</v>
      </c>
      <c r="T21" s="345">
        <f t="shared" si="9"/>
        <v>8352.4</v>
      </c>
      <c r="U21" s="70"/>
      <c r="V21" s="339">
        <f t="shared" si="4"/>
        <v>1705634.9999999998</v>
      </c>
      <c r="W21" s="70">
        <f>4500*379.03</f>
        <v>1705634.9999999998</v>
      </c>
      <c r="X21" s="70"/>
      <c r="Y21" s="343">
        <f t="shared" si="5"/>
        <v>1460175.172</v>
      </c>
      <c r="Z21" s="345">
        <f>3852.4*379.03</f>
        <v>1460175.172</v>
      </c>
      <c r="AA21" s="70"/>
      <c r="AB21" s="339">
        <f t="shared" si="6"/>
        <v>0</v>
      </c>
      <c r="AC21" s="70">
        <v>0</v>
      </c>
      <c r="AD21" s="31"/>
      <c r="AE21" s="30">
        <f t="shared" si="7"/>
        <v>0</v>
      </c>
      <c r="AF21" s="70"/>
      <c r="AG21" s="70"/>
      <c r="AH21" s="339">
        <v>426408.74999999994</v>
      </c>
      <c r="AI21" s="70">
        <v>426408.74999999994</v>
      </c>
      <c r="AJ21" s="70"/>
      <c r="AK21" s="339">
        <v>758060</v>
      </c>
      <c r="AL21" s="70">
        <v>758060</v>
      </c>
      <c r="AM21" s="70"/>
      <c r="AN21" s="339">
        <v>1212896</v>
      </c>
      <c r="AO21" s="70">
        <v>1212896</v>
      </c>
      <c r="AP21" s="70"/>
      <c r="AQ21" s="339">
        <v>1705634.9999999998</v>
      </c>
      <c r="AR21" s="70">
        <v>1705634.9999999998</v>
      </c>
      <c r="AS21" s="70"/>
      <c r="AT21" s="339">
        <v>1705634.9999999998</v>
      </c>
      <c r="AU21" s="70">
        <v>1705634.9999999998</v>
      </c>
      <c r="AV21" s="31"/>
      <c r="AW21" s="36"/>
      <c r="AX21" s="70"/>
      <c r="AY21" s="31"/>
      <c r="AZ21" s="351"/>
    </row>
    <row r="22" spans="1:52" s="350" customFormat="1" ht="21.6">
      <c r="B22" s="963"/>
      <c r="C22" s="966"/>
      <c r="D22" s="966"/>
      <c r="E22" s="969"/>
      <c r="F22" s="13" t="s">
        <v>570</v>
      </c>
      <c r="G22" s="343">
        <f t="shared" si="8"/>
        <v>541625</v>
      </c>
      <c r="H22" s="70">
        <v>541625</v>
      </c>
      <c r="I22" s="70"/>
      <c r="J22" s="343">
        <f t="shared" si="0"/>
        <v>4721.76</v>
      </c>
      <c r="K22" s="345">
        <v>4721.76</v>
      </c>
      <c r="L22" s="70"/>
      <c r="M22" s="343">
        <f t="shared" si="1"/>
        <v>81409.87</v>
      </c>
      <c r="N22" s="345">
        <v>81409.87</v>
      </c>
      <c r="O22" s="70"/>
      <c r="P22" s="339">
        <f t="shared" si="2"/>
        <v>215000</v>
      </c>
      <c r="Q22" s="70">
        <v>215000</v>
      </c>
      <c r="R22" s="70"/>
      <c r="S22" s="343">
        <f t="shared" si="3"/>
        <v>240493.37</v>
      </c>
      <c r="T22" s="345">
        <f t="shared" si="9"/>
        <v>240493.37</v>
      </c>
      <c r="U22" s="70"/>
      <c r="V22" s="339">
        <f t="shared" si="4"/>
        <v>68831848</v>
      </c>
      <c r="W22" s="70">
        <f>181600*379.03</f>
        <v>68831848</v>
      </c>
      <c r="X22" s="70"/>
      <c r="Y22" s="343">
        <f t="shared" si="5"/>
        <v>22322354.031100001</v>
      </c>
      <c r="Z22" s="345">
        <f>58893.37*379.03</f>
        <v>22322354.031100001</v>
      </c>
      <c r="AA22" s="70"/>
      <c r="AB22" s="339">
        <f t="shared" si="6"/>
        <v>0</v>
      </c>
      <c r="AC22" s="70">
        <v>0</v>
      </c>
      <c r="AD22" s="31"/>
      <c r="AE22" s="30">
        <f t="shared" si="7"/>
        <v>0</v>
      </c>
      <c r="AF22" s="70"/>
      <c r="AG22" s="70"/>
      <c r="AH22" s="339">
        <v>17207962</v>
      </c>
      <c r="AI22" s="70">
        <v>17207962</v>
      </c>
      <c r="AJ22" s="70"/>
      <c r="AK22" s="339">
        <v>34188506</v>
      </c>
      <c r="AL22" s="70">
        <v>34188506</v>
      </c>
      <c r="AM22" s="70"/>
      <c r="AN22" s="339">
        <v>53064200</v>
      </c>
      <c r="AO22" s="70">
        <v>53064199.999999993</v>
      </c>
      <c r="AP22" s="70"/>
      <c r="AQ22" s="339">
        <v>68831848</v>
      </c>
      <c r="AR22" s="70">
        <v>68831848</v>
      </c>
      <c r="AS22" s="70"/>
      <c r="AT22" s="339">
        <v>68831848</v>
      </c>
      <c r="AU22" s="70">
        <v>68831848</v>
      </c>
      <c r="AV22" s="31"/>
      <c r="AW22" s="36"/>
      <c r="AX22" s="70"/>
      <c r="AY22" s="31"/>
      <c r="AZ22" s="351"/>
    </row>
    <row r="23" spans="1:52" s="350" customFormat="1" ht="10.8">
      <c r="B23" s="964"/>
      <c r="C23" s="967"/>
      <c r="D23" s="967"/>
      <c r="E23" s="970"/>
      <c r="F23" s="13" t="s">
        <v>571</v>
      </c>
      <c r="G23" s="343">
        <f t="shared" si="8"/>
        <v>40000</v>
      </c>
      <c r="H23" s="70">
        <v>40000</v>
      </c>
      <c r="I23" s="70"/>
      <c r="J23" s="343">
        <f t="shared" si="0"/>
        <v>0</v>
      </c>
      <c r="K23" s="70">
        <v>0</v>
      </c>
      <c r="L23" s="70"/>
      <c r="M23" s="343">
        <f>N23+O23</f>
        <v>6383.98</v>
      </c>
      <c r="N23" s="345">
        <v>6383.98</v>
      </c>
      <c r="O23" s="70"/>
      <c r="P23" s="339">
        <f t="shared" si="2"/>
        <v>15000</v>
      </c>
      <c r="Q23" s="70">
        <v>15000</v>
      </c>
      <c r="R23" s="70"/>
      <c r="S23" s="343">
        <f t="shared" si="3"/>
        <v>18616.020000000004</v>
      </c>
      <c r="T23" s="345">
        <f>+H23-K23-N23-Q23</f>
        <v>18616.020000000004</v>
      </c>
      <c r="U23" s="70"/>
      <c r="V23" s="339">
        <f t="shared" si="4"/>
        <v>3411269.9999999995</v>
      </c>
      <c r="W23" s="70">
        <f>9000*379.03</f>
        <v>3411269.9999999995</v>
      </c>
      <c r="X23" s="70"/>
      <c r="Y23" s="343">
        <f t="shared" si="5"/>
        <v>3644760.0606</v>
      </c>
      <c r="Z23" s="345">
        <f>9616.02*379.03</f>
        <v>3644760.0606</v>
      </c>
      <c r="AA23" s="70"/>
      <c r="AB23" s="339">
        <f t="shared" si="6"/>
        <v>0</v>
      </c>
      <c r="AC23" s="70">
        <v>0</v>
      </c>
      <c r="AD23" s="31"/>
      <c r="AE23" s="30">
        <f t="shared" si="7"/>
        <v>0</v>
      </c>
      <c r="AF23" s="70"/>
      <c r="AG23" s="70"/>
      <c r="AH23" s="339">
        <v>852817.49999999988</v>
      </c>
      <c r="AI23" s="70">
        <v>852817.49999999988</v>
      </c>
      <c r="AJ23" s="70"/>
      <c r="AK23" s="339">
        <v>1705634.9999999998</v>
      </c>
      <c r="AL23" s="70">
        <v>1705634.9999999998</v>
      </c>
      <c r="AM23" s="70"/>
      <c r="AN23" s="339">
        <v>2842725</v>
      </c>
      <c r="AO23" s="70">
        <v>2842725</v>
      </c>
      <c r="AP23" s="70"/>
      <c r="AQ23" s="339">
        <v>3411269.9999999995</v>
      </c>
      <c r="AR23" s="70">
        <v>3411269.9999999995</v>
      </c>
      <c r="AS23" s="70"/>
      <c r="AT23" s="339">
        <v>3411269.9999999995</v>
      </c>
      <c r="AU23" s="70">
        <v>3411269.9999999995</v>
      </c>
      <c r="AV23" s="31"/>
      <c r="AW23" s="36"/>
      <c r="AX23" s="70"/>
      <c r="AY23" s="31"/>
      <c r="AZ23" s="351"/>
    </row>
    <row r="24" spans="1:52" s="350" customFormat="1" ht="11.4">
      <c r="A24" s="352"/>
      <c r="B24" s="944" t="s">
        <v>36</v>
      </c>
      <c r="C24" s="945"/>
      <c r="D24" s="945"/>
      <c r="E24" s="945"/>
      <c r="F24" s="945"/>
      <c r="G24" s="346">
        <f>SUM(G13:G23)</f>
        <v>9155000.0099999998</v>
      </c>
      <c r="H24" s="346">
        <f>SUM(H13:H23)</f>
        <v>9155000.0099999998</v>
      </c>
      <c r="I24" s="20">
        <f t="shared" ref="I24:AG24" si="10">SUM(I9:I23)</f>
        <v>0</v>
      </c>
      <c r="J24" s="346">
        <f>SUM(J13:J23)</f>
        <v>75066.339999999982</v>
      </c>
      <c r="K24" s="346">
        <f>SUM(K13:K23)</f>
        <v>75066.339999999982</v>
      </c>
      <c r="L24" s="20">
        <f t="shared" si="10"/>
        <v>0</v>
      </c>
      <c r="M24" s="346">
        <f>SUM(M13:M23)</f>
        <v>419453.7699999999</v>
      </c>
      <c r="N24" s="346">
        <f>SUM(N13:N23)</f>
        <v>419453.7699999999</v>
      </c>
      <c r="O24" s="20">
        <f t="shared" si="10"/>
        <v>0</v>
      </c>
      <c r="P24" s="346">
        <f>SUM(P13:P23)</f>
        <v>5093975</v>
      </c>
      <c r="Q24" s="346">
        <f>SUM(Q13:Q23)</f>
        <v>5093975</v>
      </c>
      <c r="R24" s="20">
        <f t="shared" si="10"/>
        <v>0</v>
      </c>
      <c r="S24" s="346">
        <f>SUM(S13:S23)</f>
        <v>3566504.9</v>
      </c>
      <c r="T24" s="346">
        <f>SUM(T13:T23)</f>
        <v>3566504.9</v>
      </c>
      <c r="U24" s="20">
        <f t="shared" si="10"/>
        <v>0</v>
      </c>
      <c r="V24" s="20">
        <f>SUM(V13:V23)</f>
        <v>994840041</v>
      </c>
      <c r="W24" s="20">
        <f>SUM(W13:W23)</f>
        <v>994840041</v>
      </c>
      <c r="X24" s="20">
        <f t="shared" si="10"/>
        <v>0</v>
      </c>
      <c r="Y24" s="343">
        <f>SUM(Y13:Y23)</f>
        <v>356972311.24699992</v>
      </c>
      <c r="Z24" s="346">
        <f>SUM(Z13:Z23)</f>
        <v>356972311.24699992</v>
      </c>
      <c r="AA24" s="20">
        <f t="shared" si="10"/>
        <v>0</v>
      </c>
      <c r="AB24" s="346">
        <f>SUM(AB13:AB23)</f>
        <v>0</v>
      </c>
      <c r="AC24" s="346">
        <f>SUM(AC13:AC23)</f>
        <v>0</v>
      </c>
      <c r="AD24" s="32">
        <f t="shared" si="10"/>
        <v>0</v>
      </c>
      <c r="AE24" s="30">
        <f t="shared" si="10"/>
        <v>0</v>
      </c>
      <c r="AF24" s="20">
        <f t="shared" si="10"/>
        <v>0</v>
      </c>
      <c r="AG24" s="20">
        <f t="shared" si="10"/>
        <v>0</v>
      </c>
      <c r="AH24" s="20">
        <v>248710010.25</v>
      </c>
      <c r="AI24" s="20">
        <v>248710010.25</v>
      </c>
      <c r="AJ24" s="20">
        <v>0</v>
      </c>
      <c r="AK24" s="20">
        <v>800094427</v>
      </c>
      <c r="AL24" s="20">
        <v>800094427</v>
      </c>
      <c r="AM24" s="20">
        <v>0</v>
      </c>
      <c r="AN24" s="20">
        <v>889614111.43000007</v>
      </c>
      <c r="AO24" s="20">
        <v>889614111.43000007</v>
      </c>
      <c r="AP24" s="20">
        <v>0</v>
      </c>
      <c r="AQ24" s="20">
        <v>994840041</v>
      </c>
      <c r="AR24" s="20">
        <v>994840041</v>
      </c>
      <c r="AS24" s="20">
        <v>0</v>
      </c>
      <c r="AT24" s="20">
        <v>994840041</v>
      </c>
      <c r="AU24" s="20">
        <v>994840041</v>
      </c>
      <c r="AV24" s="20">
        <v>0</v>
      </c>
      <c r="AW24" s="30" t="s">
        <v>39</v>
      </c>
      <c r="AX24" s="20" t="s">
        <v>39</v>
      </c>
      <c r="AY24" s="32" t="s">
        <v>39</v>
      </c>
    </row>
    <row r="25" spans="1:52" s="350" customFormat="1" ht="10.8">
      <c r="B25" s="944" t="s">
        <v>18</v>
      </c>
      <c r="C25" s="945"/>
      <c r="D25" s="945"/>
      <c r="E25" s="945"/>
      <c r="F25" s="945"/>
      <c r="G25" s="20">
        <f t="shared" ref="G25:AG25" si="11">SUMIF($E9:$E23,"Վարկային ծրագիր",G9:G23)</f>
        <v>0</v>
      </c>
      <c r="H25" s="20">
        <f t="shared" si="11"/>
        <v>0</v>
      </c>
      <c r="I25" s="20">
        <f t="shared" si="11"/>
        <v>0</v>
      </c>
      <c r="J25" s="20">
        <f t="shared" si="11"/>
        <v>0</v>
      </c>
      <c r="K25" s="20">
        <f t="shared" si="11"/>
        <v>0</v>
      </c>
      <c r="L25" s="20">
        <f t="shared" si="11"/>
        <v>0</v>
      </c>
      <c r="M25" s="346">
        <f t="shared" si="11"/>
        <v>0</v>
      </c>
      <c r="N25" s="346">
        <f t="shared" si="11"/>
        <v>0</v>
      </c>
      <c r="O25" s="20">
        <f t="shared" si="11"/>
        <v>0</v>
      </c>
      <c r="P25" s="20">
        <f t="shared" si="11"/>
        <v>0</v>
      </c>
      <c r="Q25" s="20">
        <f t="shared" si="11"/>
        <v>0</v>
      </c>
      <c r="R25" s="20">
        <f t="shared" si="11"/>
        <v>0</v>
      </c>
      <c r="S25" s="346">
        <v>0</v>
      </c>
      <c r="T25" s="346">
        <v>0</v>
      </c>
      <c r="U25" s="20">
        <f t="shared" si="11"/>
        <v>0</v>
      </c>
      <c r="V25" s="20">
        <f t="shared" si="11"/>
        <v>0</v>
      </c>
      <c r="W25" s="20">
        <f t="shared" si="11"/>
        <v>0</v>
      </c>
      <c r="X25" s="20">
        <f t="shared" si="11"/>
        <v>0</v>
      </c>
      <c r="Y25" s="20">
        <f t="shared" si="11"/>
        <v>0</v>
      </c>
      <c r="Z25" s="20">
        <f t="shared" si="11"/>
        <v>0</v>
      </c>
      <c r="AA25" s="20">
        <f t="shared" si="11"/>
        <v>0</v>
      </c>
      <c r="AB25" s="20">
        <f t="shared" si="11"/>
        <v>0</v>
      </c>
      <c r="AC25" s="20">
        <f t="shared" si="11"/>
        <v>0</v>
      </c>
      <c r="AD25" s="32">
        <f t="shared" si="11"/>
        <v>0</v>
      </c>
      <c r="AE25" s="30">
        <f t="shared" si="11"/>
        <v>0</v>
      </c>
      <c r="AF25" s="20">
        <f t="shared" si="11"/>
        <v>0</v>
      </c>
      <c r="AG25" s="20">
        <f t="shared" si="11"/>
        <v>0</v>
      </c>
      <c r="AH25" s="20">
        <v>0</v>
      </c>
      <c r="AI25" s="20">
        <v>0</v>
      </c>
      <c r="AJ25" s="20">
        <v>0</v>
      </c>
      <c r="AK25" s="20">
        <v>0</v>
      </c>
      <c r="AL25" s="20">
        <v>0</v>
      </c>
      <c r="AM25" s="20">
        <v>0</v>
      </c>
      <c r="AN25" s="20">
        <v>0</v>
      </c>
      <c r="AO25" s="20">
        <v>0</v>
      </c>
      <c r="AP25" s="20">
        <v>0</v>
      </c>
      <c r="AQ25" s="20">
        <v>0</v>
      </c>
      <c r="AR25" s="20">
        <v>0</v>
      </c>
      <c r="AS25" s="20">
        <v>0</v>
      </c>
      <c r="AT25" s="20">
        <v>0</v>
      </c>
      <c r="AU25" s="20">
        <v>0</v>
      </c>
      <c r="AV25" s="32">
        <v>0</v>
      </c>
      <c r="AW25" s="30" t="s">
        <v>39</v>
      </c>
      <c r="AX25" s="20" t="s">
        <v>39</v>
      </c>
      <c r="AY25" s="32" t="s">
        <v>39</v>
      </c>
    </row>
    <row r="26" spans="1:52" s="350" customFormat="1" ht="10.8">
      <c r="B26" s="944" t="s">
        <v>19</v>
      </c>
      <c r="C26" s="945"/>
      <c r="D26" s="945"/>
      <c r="E26" s="945"/>
      <c r="F26" s="945"/>
      <c r="G26" s="346">
        <f>+G24</f>
        <v>9155000.0099999998</v>
      </c>
      <c r="H26" s="20">
        <f>+H24</f>
        <v>9155000.0099999998</v>
      </c>
      <c r="I26" s="20">
        <f t="shared" ref="I26:Q26" si="12">+I24</f>
        <v>0</v>
      </c>
      <c r="J26" s="346">
        <f t="shared" si="12"/>
        <v>75066.339999999982</v>
      </c>
      <c r="K26" s="346">
        <f t="shared" si="12"/>
        <v>75066.339999999982</v>
      </c>
      <c r="L26" s="20">
        <f t="shared" si="12"/>
        <v>0</v>
      </c>
      <c r="M26" s="346">
        <f t="shared" si="12"/>
        <v>419453.7699999999</v>
      </c>
      <c r="N26" s="346">
        <f t="shared" si="12"/>
        <v>419453.7699999999</v>
      </c>
      <c r="O26" s="20">
        <f t="shared" si="12"/>
        <v>0</v>
      </c>
      <c r="P26" s="346">
        <f>+P24</f>
        <v>5093975</v>
      </c>
      <c r="Q26" s="20">
        <f t="shared" si="12"/>
        <v>5093975</v>
      </c>
      <c r="R26" s="20">
        <f t="shared" ref="R26:AG26" si="13">SUMIF($E9:$E23,"Դրամաշնորհային ծրագիր",R9:R23)</f>
        <v>0</v>
      </c>
      <c r="S26" s="346">
        <f>+S24</f>
        <v>3566504.9</v>
      </c>
      <c r="T26" s="346">
        <f>+T24</f>
        <v>3566504.9</v>
      </c>
      <c r="U26" s="20">
        <f t="shared" si="13"/>
        <v>0</v>
      </c>
      <c r="V26" s="20">
        <f>+V24</f>
        <v>994840041</v>
      </c>
      <c r="W26" s="20">
        <f>+W24</f>
        <v>994840041</v>
      </c>
      <c r="X26" s="20">
        <f t="shared" si="13"/>
        <v>0</v>
      </c>
      <c r="Y26" s="346">
        <f>+Y24</f>
        <v>356972311.24699992</v>
      </c>
      <c r="Z26" s="346">
        <f>+Z24</f>
        <v>356972311.24699992</v>
      </c>
      <c r="AA26" s="20">
        <f t="shared" si="13"/>
        <v>0</v>
      </c>
      <c r="AB26" s="20">
        <f>+AB24</f>
        <v>0</v>
      </c>
      <c r="AC26" s="20">
        <f>+AC24</f>
        <v>0</v>
      </c>
      <c r="AD26" s="32">
        <f t="shared" si="13"/>
        <v>0</v>
      </c>
      <c r="AE26" s="30">
        <f t="shared" si="13"/>
        <v>0</v>
      </c>
      <c r="AF26" s="20">
        <f t="shared" si="13"/>
        <v>0</v>
      </c>
      <c r="AG26" s="20">
        <f t="shared" si="13"/>
        <v>0</v>
      </c>
      <c r="AH26" s="20">
        <v>248710010.25</v>
      </c>
      <c r="AI26" s="20">
        <v>248710010.25</v>
      </c>
      <c r="AJ26" s="20">
        <v>0</v>
      </c>
      <c r="AK26" s="20">
        <v>800094427</v>
      </c>
      <c r="AL26" s="20">
        <v>800094427</v>
      </c>
      <c r="AM26" s="20">
        <v>0</v>
      </c>
      <c r="AN26" s="20">
        <v>889614111.43000007</v>
      </c>
      <c r="AO26" s="20">
        <v>889614111.43000007</v>
      </c>
      <c r="AP26" s="20">
        <v>0</v>
      </c>
      <c r="AQ26" s="20">
        <v>994840041</v>
      </c>
      <c r="AR26" s="20">
        <v>994840041</v>
      </c>
      <c r="AS26" s="20">
        <v>0</v>
      </c>
      <c r="AT26" s="20">
        <v>994840041</v>
      </c>
      <c r="AU26" s="20">
        <v>994840041</v>
      </c>
      <c r="AV26" s="32">
        <v>0</v>
      </c>
      <c r="AW26" s="30" t="s">
        <v>39</v>
      </c>
      <c r="AX26" s="20" t="s">
        <v>39</v>
      </c>
      <c r="AY26" s="32" t="s">
        <v>39</v>
      </c>
    </row>
    <row r="27" spans="1:52" ht="17.25" customHeight="1"/>
    <row r="29" spans="1:52">
      <c r="B29" s="73" t="s">
        <v>191</v>
      </c>
      <c r="C29" s="58"/>
      <c r="D29" s="59"/>
    </row>
  </sheetData>
  <mergeCells count="30">
    <mergeCell ref="B9:B23"/>
    <mergeCell ref="C9:C23"/>
    <mergeCell ref="D9:D23"/>
    <mergeCell ref="E9:E23"/>
    <mergeCell ref="AE6:AG7"/>
    <mergeCell ref="Y7:AA7"/>
    <mergeCell ref="E6:E8"/>
    <mergeCell ref="AX6:AX8"/>
    <mergeCell ref="AY6:AY8"/>
    <mergeCell ref="AH7:AJ7"/>
    <mergeCell ref="AK7:AM7"/>
    <mergeCell ref="AN7:AP7"/>
    <mergeCell ref="AQ7:AS7"/>
    <mergeCell ref="AT7:AV7"/>
    <mergeCell ref="B24:F24"/>
    <mergeCell ref="B25:F25"/>
    <mergeCell ref="B26:F26"/>
    <mergeCell ref="AH6:AV6"/>
    <mergeCell ref="AW6:AW8"/>
    <mergeCell ref="V6:AD6"/>
    <mergeCell ref="D6:D8"/>
    <mergeCell ref="F6:F8"/>
    <mergeCell ref="B6:C7"/>
    <mergeCell ref="G6:I7"/>
    <mergeCell ref="J6:L7"/>
    <mergeCell ref="M6:O7"/>
    <mergeCell ref="P6:R7"/>
    <mergeCell ref="S6:U7"/>
    <mergeCell ref="AB7:AD7"/>
    <mergeCell ref="V7:X7"/>
  </mergeCells>
  <dataValidations count="1">
    <dataValidation type="list" allowBlank="1" showInputMessage="1" showErrorMessage="1" sqref="E9">
      <formula1>$BE$1:$BE$3</formula1>
    </dataValidation>
  </dataValidations>
  <pageMargins left="0.7" right="0.7" top="0.75" bottom="0.75" header="0.3" footer="0.3"/>
  <pageSetup paperSize="9" orientation="portrait"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Y34"/>
  <sheetViews>
    <sheetView topLeftCell="A6" zoomScaleNormal="100" workbookViewId="0">
      <selection activeCell="Z9" sqref="Z9"/>
    </sheetView>
  </sheetViews>
  <sheetFormatPr defaultRowHeight="14.4"/>
  <cols>
    <col min="1" max="1" width="3.88671875" customWidth="1"/>
    <col min="2" max="2" width="10.6640625" customWidth="1"/>
    <col min="3" max="3" width="12.6640625" customWidth="1"/>
    <col min="4" max="4" width="17.88671875" customWidth="1"/>
    <col min="5" max="5" width="8.6640625" customWidth="1"/>
    <col min="6" max="6" width="40.6640625" bestFit="1" customWidth="1"/>
    <col min="7" max="7" width="11.109375" customWidth="1"/>
    <col min="8" max="8" width="8.88671875" customWidth="1"/>
    <col min="9" max="9" width="10.33203125" customWidth="1"/>
    <col min="10" max="21" width="9.109375" customWidth="1"/>
    <col min="22" max="22" width="11.109375" customWidth="1"/>
    <col min="23" max="24" width="9.109375" customWidth="1"/>
    <col min="25" max="25" width="10.109375" bestFit="1" customWidth="1"/>
    <col min="26" max="27" width="10.6640625" customWidth="1"/>
    <col min="28" max="28" width="9.44140625" customWidth="1"/>
    <col min="29" max="29" width="8.88671875" customWidth="1"/>
    <col min="30" max="30" width="10.6640625" customWidth="1"/>
    <col min="31" max="33" width="10" customWidth="1"/>
    <col min="37" max="37" width="10.5546875" customWidth="1"/>
    <col min="38" max="38" width="9.6640625" bestFit="1" customWidth="1"/>
    <col min="43" max="43" width="10.109375" customWidth="1"/>
    <col min="46" max="46" width="11.88671875" customWidth="1"/>
  </cols>
  <sheetData>
    <row r="1" spans="1:51" s="51" customFormat="1" ht="22.5" customHeight="1">
      <c r="A1" s="61" t="s">
        <v>67</v>
      </c>
      <c r="B1" s="64"/>
      <c r="C1" s="64"/>
      <c r="D1" s="64"/>
      <c r="E1" s="64"/>
      <c r="F1" s="64"/>
      <c r="G1" s="64"/>
      <c r="H1" s="64"/>
      <c r="I1" s="64"/>
      <c r="J1" s="64"/>
      <c r="K1" s="64"/>
      <c r="L1" s="64"/>
      <c r="M1" s="64"/>
      <c r="N1" s="64"/>
      <c r="O1" s="64"/>
      <c r="P1" s="54"/>
      <c r="Q1" s="54"/>
      <c r="R1" s="54"/>
      <c r="S1" s="54"/>
      <c r="T1" s="54"/>
      <c r="U1" s="54"/>
      <c r="V1" s="54"/>
      <c r="W1" s="54"/>
      <c r="X1" s="54"/>
      <c r="Y1" s="54"/>
      <c r="Z1" s="54"/>
      <c r="AA1" s="54"/>
      <c r="AB1" s="54"/>
      <c r="AC1" s="54"/>
      <c r="AD1" s="54"/>
      <c r="AE1" s="54"/>
      <c r="AF1" s="54"/>
      <c r="AG1" s="54"/>
    </row>
    <row r="2" spans="1:51" ht="18">
      <c r="A2" s="61"/>
      <c r="B2" s="64"/>
      <c r="C2" s="64"/>
      <c r="D2" s="64"/>
      <c r="E2" s="64"/>
      <c r="F2" s="64"/>
      <c r="G2" s="64"/>
      <c r="H2" s="64"/>
      <c r="I2" s="64"/>
      <c r="J2" s="64"/>
      <c r="K2" s="64"/>
      <c r="L2" s="64"/>
      <c r="M2" s="64"/>
      <c r="N2" s="64"/>
      <c r="O2" s="64"/>
      <c r="P2" s="16"/>
      <c r="Q2" s="16"/>
      <c r="R2" s="16"/>
      <c r="S2" s="16"/>
      <c r="T2" s="16"/>
      <c r="U2" s="16"/>
      <c r="V2" s="16"/>
      <c r="W2" s="16"/>
      <c r="X2" s="16"/>
      <c r="Y2" s="16"/>
      <c r="Z2" s="16"/>
      <c r="AA2" s="16"/>
      <c r="AB2" s="16"/>
      <c r="AC2" s="16"/>
      <c r="AD2" s="16"/>
      <c r="AE2" s="16"/>
      <c r="AF2" s="16"/>
      <c r="AG2" s="16"/>
    </row>
    <row r="3" spans="1:51" s="51" customFormat="1" ht="30.75" customHeight="1">
      <c r="A3" s="61" t="s">
        <v>303</v>
      </c>
      <c r="B3" s="64"/>
      <c r="C3" s="64"/>
      <c r="D3" s="64"/>
      <c r="E3" s="64"/>
      <c r="F3" s="64"/>
      <c r="G3" s="64"/>
      <c r="H3" s="64"/>
      <c r="I3" s="64"/>
      <c r="J3" s="64"/>
      <c r="K3" s="64"/>
      <c r="L3" s="64"/>
      <c r="M3" s="64"/>
      <c r="N3" s="64"/>
      <c r="O3" s="64"/>
      <c r="P3" s="54"/>
      <c r="Q3" s="54"/>
      <c r="R3" s="54"/>
      <c r="S3" s="54"/>
      <c r="T3" s="54"/>
      <c r="U3" s="54"/>
      <c r="V3" s="54"/>
      <c r="W3" s="54"/>
      <c r="X3" s="54"/>
      <c r="Y3" s="54"/>
      <c r="Z3" s="54"/>
      <c r="AA3" s="54"/>
      <c r="AB3" s="54"/>
      <c r="AC3" s="54"/>
      <c r="AD3" s="54"/>
      <c r="AE3" s="54"/>
      <c r="AF3" s="54"/>
      <c r="AG3" s="54"/>
    </row>
    <row r="4" spans="1:51">
      <c r="A4" s="63"/>
      <c r="B4" s="65"/>
      <c r="C4" s="65"/>
      <c r="D4" s="65"/>
      <c r="E4" s="63"/>
      <c r="F4" s="63"/>
      <c r="G4" s="63"/>
      <c r="H4" s="63"/>
      <c r="I4" s="63"/>
      <c r="J4" s="63"/>
      <c r="K4" s="63"/>
      <c r="L4" s="63"/>
      <c r="M4" s="63"/>
      <c r="N4" s="63"/>
      <c r="O4" s="63"/>
      <c r="AE4" s="51"/>
      <c r="AF4" s="51"/>
      <c r="AG4" s="51"/>
    </row>
    <row r="5" spans="1:51" ht="15" thickBot="1">
      <c r="A5" s="63"/>
      <c r="B5" s="63"/>
      <c r="C5" s="63"/>
      <c r="D5" s="65"/>
      <c r="E5" s="63"/>
      <c r="F5" s="63"/>
      <c r="G5" s="63"/>
      <c r="H5" s="63"/>
      <c r="I5" s="63"/>
      <c r="J5" s="63"/>
      <c r="K5" s="63"/>
      <c r="L5" s="63"/>
      <c r="M5" s="63"/>
      <c r="N5" s="63"/>
      <c r="O5" s="63"/>
      <c r="AE5" s="51"/>
      <c r="AF5" s="51"/>
      <c r="AG5" s="51"/>
      <c r="AW5" s="65" t="s">
        <v>56</v>
      </c>
      <c r="AX5" s="58"/>
    </row>
    <row r="6" spans="1:51" ht="40.5" customHeight="1">
      <c r="A6" s="63"/>
      <c r="B6" s="953" t="s">
        <v>5</v>
      </c>
      <c r="C6" s="952"/>
      <c r="D6" s="952" t="s">
        <v>45</v>
      </c>
      <c r="E6" s="952" t="s">
        <v>38</v>
      </c>
      <c r="F6" s="952" t="s">
        <v>304</v>
      </c>
      <c r="G6" s="952" t="s">
        <v>59</v>
      </c>
      <c r="H6" s="952"/>
      <c r="I6" s="952"/>
      <c r="J6" s="952" t="s">
        <v>104</v>
      </c>
      <c r="K6" s="952"/>
      <c r="L6" s="952"/>
      <c r="M6" s="952" t="s">
        <v>105</v>
      </c>
      <c r="N6" s="952"/>
      <c r="O6" s="952"/>
      <c r="P6" s="950" t="s">
        <v>106</v>
      </c>
      <c r="Q6" s="950"/>
      <c r="R6" s="950"/>
      <c r="S6" s="950" t="s">
        <v>17</v>
      </c>
      <c r="T6" s="950"/>
      <c r="U6" s="950"/>
      <c r="V6" s="950" t="s">
        <v>13</v>
      </c>
      <c r="W6" s="950"/>
      <c r="X6" s="950"/>
      <c r="Y6" s="950"/>
      <c r="Z6" s="950"/>
      <c r="AA6" s="950"/>
      <c r="AB6" s="950"/>
      <c r="AC6" s="950"/>
      <c r="AD6" s="951"/>
      <c r="AE6" s="971" t="s">
        <v>107</v>
      </c>
      <c r="AF6" s="946"/>
      <c r="AG6" s="946"/>
      <c r="AH6" s="946" t="s">
        <v>108</v>
      </c>
      <c r="AI6" s="946"/>
      <c r="AJ6" s="946"/>
      <c r="AK6" s="946"/>
      <c r="AL6" s="946"/>
      <c r="AM6" s="946"/>
      <c r="AN6" s="946"/>
      <c r="AO6" s="946"/>
      <c r="AP6" s="946"/>
      <c r="AQ6" s="946"/>
      <c r="AR6" s="946"/>
      <c r="AS6" s="946"/>
      <c r="AT6" s="946"/>
      <c r="AU6" s="946"/>
      <c r="AV6" s="947"/>
      <c r="AW6" s="948" t="s">
        <v>23</v>
      </c>
      <c r="AX6" s="956" t="s">
        <v>24</v>
      </c>
      <c r="AY6" s="958" t="s">
        <v>109</v>
      </c>
    </row>
    <row r="7" spans="1:51" ht="25.5" customHeight="1">
      <c r="A7" s="63"/>
      <c r="B7" s="954"/>
      <c r="C7" s="921"/>
      <c r="D7" s="921"/>
      <c r="E7" s="921"/>
      <c r="F7" s="921"/>
      <c r="G7" s="921"/>
      <c r="H7" s="921"/>
      <c r="I7" s="921"/>
      <c r="J7" s="921"/>
      <c r="K7" s="921"/>
      <c r="L7" s="921"/>
      <c r="M7" s="921"/>
      <c r="N7" s="921"/>
      <c r="O7" s="921"/>
      <c r="P7" s="775"/>
      <c r="Q7" s="775"/>
      <c r="R7" s="775"/>
      <c r="S7" s="775"/>
      <c r="T7" s="775"/>
      <c r="U7" s="775"/>
      <c r="V7" s="775" t="s">
        <v>54</v>
      </c>
      <c r="W7" s="775"/>
      <c r="X7" s="775"/>
      <c r="Y7" s="775" t="s">
        <v>72</v>
      </c>
      <c r="Z7" s="775"/>
      <c r="AA7" s="775"/>
      <c r="AB7" s="775" t="s">
        <v>97</v>
      </c>
      <c r="AC7" s="775"/>
      <c r="AD7" s="955"/>
      <c r="AE7" s="972"/>
      <c r="AF7" s="960"/>
      <c r="AG7" s="960"/>
      <c r="AH7" s="960" t="s">
        <v>25</v>
      </c>
      <c r="AI7" s="960"/>
      <c r="AJ7" s="960"/>
      <c r="AK7" s="960" t="s">
        <v>26</v>
      </c>
      <c r="AL7" s="960"/>
      <c r="AM7" s="960"/>
      <c r="AN7" s="960" t="s">
        <v>27</v>
      </c>
      <c r="AO7" s="960"/>
      <c r="AP7" s="960"/>
      <c r="AQ7" s="960" t="s">
        <v>28</v>
      </c>
      <c r="AR7" s="960"/>
      <c r="AS7" s="960"/>
      <c r="AT7" s="960" t="s">
        <v>29</v>
      </c>
      <c r="AU7" s="960"/>
      <c r="AV7" s="961"/>
      <c r="AW7" s="949"/>
      <c r="AX7" s="957"/>
      <c r="AY7" s="959"/>
    </row>
    <row r="8" spans="1:51" ht="126" customHeight="1">
      <c r="A8" s="63"/>
      <c r="B8" s="66" t="s">
        <v>1</v>
      </c>
      <c r="C8" s="67" t="s">
        <v>20</v>
      </c>
      <c r="D8" s="921"/>
      <c r="E8" s="921"/>
      <c r="F8" s="921"/>
      <c r="G8" s="68" t="s">
        <v>9</v>
      </c>
      <c r="H8" s="68" t="s">
        <v>15</v>
      </c>
      <c r="I8" s="68" t="s">
        <v>16</v>
      </c>
      <c r="J8" s="68" t="s">
        <v>9</v>
      </c>
      <c r="K8" s="68" t="s">
        <v>15</v>
      </c>
      <c r="L8" s="68" t="s">
        <v>16</v>
      </c>
      <c r="M8" s="68" t="s">
        <v>9</v>
      </c>
      <c r="N8" s="68" t="s">
        <v>15</v>
      </c>
      <c r="O8" s="68" t="s">
        <v>16</v>
      </c>
      <c r="P8" s="18" t="s">
        <v>9</v>
      </c>
      <c r="Q8" s="18" t="s">
        <v>15</v>
      </c>
      <c r="R8" s="18" t="s">
        <v>16</v>
      </c>
      <c r="S8" s="18" t="s">
        <v>9</v>
      </c>
      <c r="T8" s="18" t="s">
        <v>15</v>
      </c>
      <c r="U8" s="18" t="s">
        <v>16</v>
      </c>
      <c r="V8" s="18" t="s">
        <v>9</v>
      </c>
      <c r="W8" s="18" t="s">
        <v>15</v>
      </c>
      <c r="X8" s="18" t="s">
        <v>16</v>
      </c>
      <c r="Y8" s="18" t="s">
        <v>9</v>
      </c>
      <c r="Z8" s="18" t="s">
        <v>15</v>
      </c>
      <c r="AA8" s="18" t="s">
        <v>16</v>
      </c>
      <c r="AB8" s="18" t="s">
        <v>9</v>
      </c>
      <c r="AC8" s="18" t="s">
        <v>15</v>
      </c>
      <c r="AD8" s="340" t="s">
        <v>16</v>
      </c>
      <c r="AE8" s="28" t="s">
        <v>9</v>
      </c>
      <c r="AF8" s="27" t="s">
        <v>15</v>
      </c>
      <c r="AG8" s="27" t="s">
        <v>16</v>
      </c>
      <c r="AH8" s="27" t="s">
        <v>9</v>
      </c>
      <c r="AI8" s="27" t="s">
        <v>15</v>
      </c>
      <c r="AJ8" s="27" t="s">
        <v>16</v>
      </c>
      <c r="AK8" s="27" t="s">
        <v>9</v>
      </c>
      <c r="AL8" s="27" t="s">
        <v>15</v>
      </c>
      <c r="AM8" s="27" t="s">
        <v>16</v>
      </c>
      <c r="AN8" s="27" t="s">
        <v>9</v>
      </c>
      <c r="AO8" s="27" t="s">
        <v>15</v>
      </c>
      <c r="AP8" s="27" t="s">
        <v>16</v>
      </c>
      <c r="AQ8" s="27" t="s">
        <v>9</v>
      </c>
      <c r="AR8" s="27" t="s">
        <v>15</v>
      </c>
      <c r="AS8" s="27" t="s">
        <v>16</v>
      </c>
      <c r="AT8" s="27" t="s">
        <v>9</v>
      </c>
      <c r="AU8" s="27" t="s">
        <v>15</v>
      </c>
      <c r="AV8" s="29" t="s">
        <v>16</v>
      </c>
      <c r="AW8" s="949"/>
      <c r="AX8" s="957"/>
      <c r="AY8" s="959"/>
    </row>
    <row r="9" spans="1:51" ht="47.25" customHeight="1">
      <c r="B9" s="962">
        <v>1016</v>
      </c>
      <c r="C9" s="965">
        <v>11010</v>
      </c>
      <c r="D9" s="965" t="s">
        <v>572</v>
      </c>
      <c r="E9" s="968"/>
      <c r="F9" s="347" t="s">
        <v>572</v>
      </c>
      <c r="G9" s="339">
        <f>H9+I9</f>
        <v>2372605.9</v>
      </c>
      <c r="H9" s="345">
        <f>+H12</f>
        <v>2372605.9</v>
      </c>
      <c r="I9" s="70"/>
      <c r="J9" s="339">
        <f>K9+L9</f>
        <v>158547.9</v>
      </c>
      <c r="K9" s="345">
        <f>+K12</f>
        <v>158547.9</v>
      </c>
      <c r="L9" s="70"/>
      <c r="M9" s="339">
        <f>N9+O9</f>
        <v>327984.05609938782</v>
      </c>
      <c r="N9" s="345">
        <f>+N12</f>
        <v>327984.05609938782</v>
      </c>
      <c r="O9" s="70"/>
      <c r="P9" s="339">
        <f>Q9+R9</f>
        <v>649550.0914913083</v>
      </c>
      <c r="Q9" s="345">
        <f>+Q12</f>
        <v>649550.0914913083</v>
      </c>
      <c r="R9" s="70"/>
      <c r="S9" s="339">
        <f>T9+U9</f>
        <v>1236523.8524093037</v>
      </c>
      <c r="T9" s="345">
        <f>+T12</f>
        <v>1236523.8524093037</v>
      </c>
      <c r="U9" s="70"/>
      <c r="V9" s="339">
        <f>W9+X9</f>
        <v>124625064</v>
      </c>
      <c r="W9" s="345">
        <f>+W12</f>
        <v>124625064</v>
      </c>
      <c r="X9" s="70"/>
      <c r="Y9" s="339">
        <f>Z9+AA9</f>
        <v>344054571.77869844</v>
      </c>
      <c r="Z9" s="345">
        <f>+Z12</f>
        <v>344054571.77869844</v>
      </c>
      <c r="AA9" s="70"/>
      <c r="AB9" s="339">
        <f>AC9+AD9</f>
        <v>0</v>
      </c>
      <c r="AC9" s="345">
        <f>+AC12</f>
        <v>0</v>
      </c>
      <c r="AD9" s="31"/>
      <c r="AE9" s="30">
        <f>AF9+AG9</f>
        <v>0</v>
      </c>
      <c r="AF9" s="70"/>
      <c r="AG9" s="70"/>
      <c r="AH9" s="339">
        <f>AI9+AJ9</f>
        <v>20903447.645499997</v>
      </c>
      <c r="AI9" s="345">
        <f>+AI12</f>
        <v>20903447.645499997</v>
      </c>
      <c r="AJ9" s="70"/>
      <c r="AK9" s="339">
        <f>AL9+AM9</f>
        <v>175185012.78999999</v>
      </c>
      <c r="AL9" s="345">
        <f>+AL12</f>
        <v>175185012.78999999</v>
      </c>
      <c r="AM9" s="70"/>
      <c r="AN9" s="339">
        <f>AO9+AP9</f>
        <v>93480168.900000006</v>
      </c>
      <c r="AO9" s="345">
        <f>+AO12</f>
        <v>93480168.900000006</v>
      </c>
      <c r="AP9" s="70"/>
      <c r="AQ9" s="339">
        <f>AR9+AS9</f>
        <v>124625064</v>
      </c>
      <c r="AR9" s="345">
        <f>+AR12</f>
        <v>124625064</v>
      </c>
      <c r="AS9" s="70"/>
      <c r="AT9" s="339">
        <f>AU9+AV9</f>
        <v>124625064</v>
      </c>
      <c r="AU9" s="345">
        <f>+AU12</f>
        <v>124625064</v>
      </c>
      <c r="AV9" s="31"/>
      <c r="AW9" s="36" t="s">
        <v>573</v>
      </c>
      <c r="AX9" s="70" t="s">
        <v>574</v>
      </c>
      <c r="AY9" s="31"/>
    </row>
    <row r="10" spans="1:51" ht="25.5" customHeight="1">
      <c r="B10" s="963"/>
      <c r="C10" s="966"/>
      <c r="D10" s="966"/>
      <c r="E10" s="969"/>
      <c r="F10" s="13" t="s">
        <v>575</v>
      </c>
      <c r="G10" s="339">
        <f t="shared" ref="G10:G28" si="0">H10+I10</f>
        <v>0</v>
      </c>
      <c r="H10" s="70">
        <v>0</v>
      </c>
      <c r="I10" s="70"/>
      <c r="J10" s="339">
        <f t="shared" ref="J10:J28" si="1">K10+L10</f>
        <v>0</v>
      </c>
      <c r="K10" s="70">
        <v>0</v>
      </c>
      <c r="L10" s="70"/>
      <c r="M10" s="339">
        <f t="shared" ref="M10:M26" si="2">N10+O10</f>
        <v>0</v>
      </c>
      <c r="N10" s="70">
        <v>0</v>
      </c>
      <c r="O10" s="70"/>
      <c r="P10" s="339">
        <f t="shared" ref="P10:P26" si="3">Q10+R10</f>
        <v>0</v>
      </c>
      <c r="Q10" s="70">
        <v>0</v>
      </c>
      <c r="R10" s="70"/>
      <c r="S10" s="339">
        <f t="shared" ref="S10:S28" si="4">T10+U10</f>
        <v>0</v>
      </c>
      <c r="T10" s="70">
        <v>0</v>
      </c>
      <c r="U10" s="70"/>
      <c r="V10" s="339">
        <f t="shared" ref="V10:V11" si="5">W10+X10</f>
        <v>0</v>
      </c>
      <c r="W10" s="70">
        <v>0</v>
      </c>
      <c r="X10" s="70"/>
      <c r="Y10" s="339">
        <f t="shared" ref="Y10:Y26" si="6">Z10+AA10</f>
        <v>0</v>
      </c>
      <c r="Z10" s="70">
        <v>0</v>
      </c>
      <c r="AA10" s="70"/>
      <c r="AB10" s="339">
        <f t="shared" ref="AB10:AB28" si="7">AC10+AD10</f>
        <v>0</v>
      </c>
      <c r="AC10" s="70">
        <v>0</v>
      </c>
      <c r="AD10" s="31"/>
      <c r="AE10" s="30">
        <f t="shared" ref="AE10:AE26" si="8">AF10+AG10</f>
        <v>0</v>
      </c>
      <c r="AF10" s="70"/>
      <c r="AG10" s="70"/>
      <c r="AH10" s="339">
        <f t="shared" ref="AH10:AH12" si="9">AI10+AJ10</f>
        <v>0</v>
      </c>
      <c r="AI10" s="70">
        <v>0</v>
      </c>
      <c r="AJ10" s="70"/>
      <c r="AK10" s="339">
        <f t="shared" ref="AK10:AK12" si="10">AL10+AM10</f>
        <v>0</v>
      </c>
      <c r="AL10" s="70">
        <v>0</v>
      </c>
      <c r="AM10" s="70"/>
      <c r="AN10" s="339">
        <f t="shared" ref="AN10:AN12" si="11">AO10+AP10</f>
        <v>0</v>
      </c>
      <c r="AO10" s="70">
        <v>0</v>
      </c>
      <c r="AP10" s="70"/>
      <c r="AQ10" s="339">
        <f t="shared" ref="AQ10:AQ12" si="12">AR10+AS10</f>
        <v>0</v>
      </c>
      <c r="AR10" s="70">
        <v>0</v>
      </c>
      <c r="AS10" s="70"/>
      <c r="AT10" s="339">
        <f t="shared" ref="AT10:AT12" si="13">AU10+AV10</f>
        <v>0</v>
      </c>
      <c r="AU10" s="70">
        <v>0</v>
      </c>
      <c r="AV10" s="31"/>
      <c r="AW10" s="36"/>
      <c r="AX10" s="70"/>
      <c r="AY10" s="31"/>
    </row>
    <row r="11" spans="1:51">
      <c r="B11" s="963"/>
      <c r="C11" s="966"/>
      <c r="D11" s="966"/>
      <c r="E11" s="969"/>
      <c r="F11" s="347" t="s">
        <v>576</v>
      </c>
      <c r="G11" s="339">
        <f t="shared" si="0"/>
        <v>0</v>
      </c>
      <c r="H11" s="70">
        <v>0</v>
      </c>
      <c r="I11" s="70"/>
      <c r="J11" s="339">
        <f t="shared" si="1"/>
        <v>0</v>
      </c>
      <c r="K11" s="70">
        <v>0</v>
      </c>
      <c r="L11" s="70"/>
      <c r="M11" s="339">
        <f t="shared" si="2"/>
        <v>0</v>
      </c>
      <c r="N11" s="70">
        <v>0</v>
      </c>
      <c r="O11" s="70"/>
      <c r="P11" s="339">
        <f t="shared" si="3"/>
        <v>0</v>
      </c>
      <c r="Q11" s="70">
        <v>0</v>
      </c>
      <c r="R11" s="70"/>
      <c r="S11" s="339">
        <f t="shared" si="4"/>
        <v>0</v>
      </c>
      <c r="T11" s="70">
        <v>0</v>
      </c>
      <c r="U11" s="70"/>
      <c r="V11" s="339">
        <f t="shared" si="5"/>
        <v>0</v>
      </c>
      <c r="W11" s="70">
        <v>0</v>
      </c>
      <c r="X11" s="70"/>
      <c r="Y11" s="339">
        <f t="shared" si="6"/>
        <v>0</v>
      </c>
      <c r="Z11" s="70">
        <v>0</v>
      </c>
      <c r="AA11" s="70"/>
      <c r="AB11" s="339">
        <f t="shared" si="7"/>
        <v>0</v>
      </c>
      <c r="AC11" s="70">
        <v>0</v>
      </c>
      <c r="AD11" s="31"/>
      <c r="AE11" s="30">
        <f t="shared" si="8"/>
        <v>0</v>
      </c>
      <c r="AF11" s="70"/>
      <c r="AG11" s="70"/>
      <c r="AH11" s="339">
        <f t="shared" si="9"/>
        <v>0</v>
      </c>
      <c r="AI11" s="70">
        <v>0</v>
      </c>
      <c r="AJ11" s="70"/>
      <c r="AK11" s="339">
        <f t="shared" si="10"/>
        <v>0</v>
      </c>
      <c r="AL11" s="70">
        <v>0</v>
      </c>
      <c r="AM11" s="70"/>
      <c r="AN11" s="339">
        <f t="shared" si="11"/>
        <v>0</v>
      </c>
      <c r="AO11" s="70">
        <v>0</v>
      </c>
      <c r="AP11" s="70"/>
      <c r="AQ11" s="339">
        <f t="shared" si="12"/>
        <v>0</v>
      </c>
      <c r="AR11" s="70">
        <v>0</v>
      </c>
      <c r="AS11" s="70"/>
      <c r="AT11" s="339">
        <f t="shared" si="13"/>
        <v>0</v>
      </c>
      <c r="AU11" s="70">
        <v>0</v>
      </c>
      <c r="AV11" s="31"/>
      <c r="AW11" s="36"/>
      <c r="AX11" s="70"/>
      <c r="AY11" s="31"/>
    </row>
    <row r="12" spans="1:51">
      <c r="B12" s="963"/>
      <c r="C12" s="966"/>
      <c r="D12" s="966"/>
      <c r="E12" s="969"/>
      <c r="F12" s="347" t="s">
        <v>560</v>
      </c>
      <c r="G12" s="339">
        <f t="shared" si="0"/>
        <v>2372605.9</v>
      </c>
      <c r="H12" s="345">
        <f>+SUM(H13:H28)</f>
        <v>2372605.9</v>
      </c>
      <c r="I12" s="70"/>
      <c r="J12" s="339">
        <f t="shared" si="1"/>
        <v>158547.9</v>
      </c>
      <c r="K12" s="345">
        <f>+SUM(K13:K28)</f>
        <v>158547.9</v>
      </c>
      <c r="L12" s="70"/>
      <c r="M12" s="339">
        <f t="shared" si="2"/>
        <v>327984.05609938782</v>
      </c>
      <c r="N12" s="345">
        <f>+SUM(N13:N28)</f>
        <v>327984.05609938782</v>
      </c>
      <c r="O12" s="70"/>
      <c r="P12" s="339">
        <f t="shared" si="3"/>
        <v>649550.0914913083</v>
      </c>
      <c r="Q12" s="345">
        <f>+SUM(Q13:Q28)</f>
        <v>649550.0914913083</v>
      </c>
      <c r="R12" s="70"/>
      <c r="S12" s="339">
        <f t="shared" si="4"/>
        <v>1236523.8524093037</v>
      </c>
      <c r="T12" s="345">
        <f>+SUM(T13:T28)</f>
        <v>1236523.8524093037</v>
      </c>
      <c r="U12" s="70"/>
      <c r="V12" s="343">
        <f>W12+X12</f>
        <v>124625064</v>
      </c>
      <c r="W12" s="345">
        <f>+SUM(W13:W28)</f>
        <v>124625064</v>
      </c>
      <c r="X12" s="70"/>
      <c r="Y12" s="343">
        <f>Z12+AA12</f>
        <v>344054571.77869844</v>
      </c>
      <c r="Z12" s="345">
        <f>+SUM(Z13:Z28)</f>
        <v>344054571.77869844</v>
      </c>
      <c r="AA12" s="70"/>
      <c r="AB12" s="339">
        <f t="shared" si="7"/>
        <v>0</v>
      </c>
      <c r="AC12" s="70">
        <v>0</v>
      </c>
      <c r="AD12" s="31"/>
      <c r="AE12" s="30">
        <f t="shared" si="8"/>
        <v>0</v>
      </c>
      <c r="AF12" s="70"/>
      <c r="AG12" s="70"/>
      <c r="AH12" s="339">
        <f t="shared" si="9"/>
        <v>20903447.645499997</v>
      </c>
      <c r="AI12" s="345">
        <f>+SUM(AI13:AI28)</f>
        <v>20903447.645499997</v>
      </c>
      <c r="AJ12" s="70"/>
      <c r="AK12" s="339">
        <f t="shared" si="10"/>
        <v>175185012.78999999</v>
      </c>
      <c r="AL12" s="345">
        <f>+SUM(AL13:AL28)</f>
        <v>175185012.78999999</v>
      </c>
      <c r="AM12" s="70"/>
      <c r="AN12" s="339">
        <f t="shared" si="11"/>
        <v>93480168.900000006</v>
      </c>
      <c r="AO12" s="345">
        <f>+SUM(AO13:AO28)</f>
        <v>93480168.900000006</v>
      </c>
      <c r="AP12" s="70"/>
      <c r="AQ12" s="339">
        <f t="shared" si="12"/>
        <v>124625064</v>
      </c>
      <c r="AR12" s="345">
        <f>+SUM(AR13:AR28)</f>
        <v>124625064</v>
      </c>
      <c r="AS12" s="70"/>
      <c r="AT12" s="339">
        <f t="shared" si="13"/>
        <v>124625064</v>
      </c>
      <c r="AU12" s="345">
        <f>+SUM(AU13:AU28)</f>
        <v>124625064</v>
      </c>
      <c r="AV12" s="31"/>
      <c r="AW12" s="36"/>
      <c r="AX12" s="70"/>
      <c r="AY12" s="31"/>
    </row>
    <row r="13" spans="1:51">
      <c r="B13" s="963"/>
      <c r="C13" s="966"/>
      <c r="D13" s="966"/>
      <c r="E13" s="969"/>
      <c r="F13" s="13" t="s">
        <v>561</v>
      </c>
      <c r="G13" s="343">
        <f t="shared" si="0"/>
        <v>1311787.8999999999</v>
      </c>
      <c r="H13" s="345">
        <v>1311787.8999999999</v>
      </c>
      <c r="I13" s="345"/>
      <c r="J13" s="343">
        <f t="shared" si="1"/>
        <v>121803.8</v>
      </c>
      <c r="K13" s="345">
        <v>121803.8</v>
      </c>
      <c r="L13" s="345"/>
      <c r="M13" s="343">
        <f t="shared" si="2"/>
        <v>199113.73298551023</v>
      </c>
      <c r="N13" s="345">
        <f>77090864/387.17</f>
        <v>199113.73298551023</v>
      </c>
      <c r="O13" s="345"/>
      <c r="P13" s="343">
        <f t="shared" si="3"/>
        <v>244299.83008757024</v>
      </c>
      <c r="Q13" s="345">
        <f>93456900/382.55</f>
        <v>244299.83008757024</v>
      </c>
      <c r="R13" s="345"/>
      <c r="S13" s="343">
        <f t="shared" si="4"/>
        <v>746570.53692691936</v>
      </c>
      <c r="T13" s="345">
        <f>+G13-K13-N13-Q13</f>
        <v>746570.53692691936</v>
      </c>
      <c r="U13" s="345"/>
      <c r="V13" s="343">
        <f>W13+X13</f>
        <v>54788786.499999993</v>
      </c>
      <c r="W13" s="345">
        <f>144550*379.03</f>
        <v>54788786.499999993</v>
      </c>
      <c r="X13" s="345"/>
      <c r="Y13" s="343">
        <f t="shared" ref="Y13:Y17" si="14">Z13+AA13</f>
        <v>228183844.11141011</v>
      </c>
      <c r="Z13" s="345">
        <f>602020.536926919*379.03</f>
        <v>228183844.11141011</v>
      </c>
      <c r="AA13" s="70"/>
      <c r="AB13" s="339">
        <v>0</v>
      </c>
      <c r="AC13" s="70">
        <v>0</v>
      </c>
      <c r="AD13" s="70">
        <v>0</v>
      </c>
      <c r="AE13" s="30">
        <f t="shared" si="8"/>
        <v>0</v>
      </c>
      <c r="AF13" s="70"/>
      <c r="AG13" s="70"/>
      <c r="AH13" s="343">
        <f>+AI13</f>
        <v>9149727.345499998</v>
      </c>
      <c r="AI13" s="345">
        <f>24139.85*379.03</f>
        <v>9149727.345499998</v>
      </c>
      <c r="AJ13" s="345"/>
      <c r="AK13" s="343">
        <f>+AL13</f>
        <v>121753153.69</v>
      </c>
      <c r="AL13" s="345">
        <f>321223*379.03</f>
        <v>121753153.69</v>
      </c>
      <c r="AM13" s="345"/>
      <c r="AN13" s="343">
        <f>+AO13</f>
        <v>41086852</v>
      </c>
      <c r="AO13" s="345">
        <f>108400*379.03</f>
        <v>41086852</v>
      </c>
      <c r="AP13" s="345"/>
      <c r="AQ13" s="343">
        <f>+AR13</f>
        <v>54788786.499999993</v>
      </c>
      <c r="AR13" s="345">
        <f>144550*379.03</f>
        <v>54788786.499999993</v>
      </c>
      <c r="AS13" s="345"/>
      <c r="AT13" s="343">
        <f>+AU13</f>
        <v>54788786.499999993</v>
      </c>
      <c r="AU13" s="345">
        <f>144550*379.03</f>
        <v>54788786.499999993</v>
      </c>
      <c r="AV13" s="31"/>
      <c r="AW13" s="36"/>
      <c r="AX13" s="70"/>
      <c r="AY13" s="31"/>
    </row>
    <row r="14" spans="1:51">
      <c r="B14" s="963"/>
      <c r="C14" s="966"/>
      <c r="D14" s="966"/>
      <c r="E14" s="969"/>
      <c r="F14" s="13" t="s">
        <v>577</v>
      </c>
      <c r="G14" s="343">
        <f t="shared" si="0"/>
        <v>2000</v>
      </c>
      <c r="H14" s="345">
        <v>2000</v>
      </c>
      <c r="I14" s="345"/>
      <c r="J14" s="343">
        <v>0</v>
      </c>
      <c r="K14" s="345">
        <v>0</v>
      </c>
      <c r="L14" s="345"/>
      <c r="M14" s="343">
        <v>0</v>
      </c>
      <c r="N14" s="345">
        <v>0</v>
      </c>
      <c r="O14" s="345"/>
      <c r="P14" s="343">
        <v>2000</v>
      </c>
      <c r="Q14" s="345">
        <f>765100/382.55</f>
        <v>2000</v>
      </c>
      <c r="R14" s="345"/>
      <c r="S14" s="343">
        <f t="shared" si="4"/>
        <v>0</v>
      </c>
      <c r="T14" s="345">
        <f t="shared" ref="T14:T28" si="15">+G14-K14-N14-Q14</f>
        <v>0</v>
      </c>
      <c r="U14" s="345"/>
      <c r="V14" s="343">
        <f t="shared" ref="V14:V29" si="16">W14+X14</f>
        <v>0</v>
      </c>
      <c r="W14" s="345">
        <v>0</v>
      </c>
      <c r="X14" s="345"/>
      <c r="Y14" s="343"/>
      <c r="Z14" s="345">
        <v>0</v>
      </c>
      <c r="AA14" s="70"/>
      <c r="AB14" s="339">
        <v>0</v>
      </c>
      <c r="AC14" s="70">
        <v>0</v>
      </c>
      <c r="AD14" s="70">
        <v>0</v>
      </c>
      <c r="AE14" s="30">
        <f t="shared" si="8"/>
        <v>0</v>
      </c>
      <c r="AF14" s="70"/>
      <c r="AG14" s="70"/>
      <c r="AH14" s="343">
        <f t="shared" ref="AH14:AH28" si="17">+AI14</f>
        <v>0</v>
      </c>
      <c r="AI14" s="345">
        <v>0</v>
      </c>
      <c r="AJ14" s="345"/>
      <c r="AK14" s="343">
        <f t="shared" ref="AK14:AK28" si="18">+AL14</f>
        <v>0</v>
      </c>
      <c r="AL14" s="345">
        <v>0</v>
      </c>
      <c r="AM14" s="345"/>
      <c r="AN14" s="343">
        <f t="shared" ref="AN14:AN28" si="19">+AO14</f>
        <v>0</v>
      </c>
      <c r="AO14" s="345">
        <v>0</v>
      </c>
      <c r="AP14" s="345"/>
      <c r="AQ14" s="343">
        <f t="shared" ref="AQ14:AQ28" si="20">+AR14</f>
        <v>0</v>
      </c>
      <c r="AR14" s="345">
        <v>0</v>
      </c>
      <c r="AS14" s="345"/>
      <c r="AT14" s="343">
        <f t="shared" ref="AT14:AT28" si="21">+AU14</f>
        <v>0</v>
      </c>
      <c r="AU14" s="345">
        <v>0</v>
      </c>
      <c r="AV14" s="31"/>
      <c r="AW14" s="36"/>
      <c r="AX14" s="70"/>
      <c r="AY14" s="31"/>
    </row>
    <row r="15" spans="1:51">
      <c r="B15" s="963"/>
      <c r="C15" s="966"/>
      <c r="D15" s="966"/>
      <c r="E15" s="969"/>
      <c r="F15" s="13" t="s">
        <v>552</v>
      </c>
      <c r="G15" s="343">
        <f t="shared" si="0"/>
        <v>4000</v>
      </c>
      <c r="H15" s="345">
        <v>4000</v>
      </c>
      <c r="I15" s="345"/>
      <c r="J15" s="343">
        <v>0</v>
      </c>
      <c r="K15" s="345">
        <v>0</v>
      </c>
      <c r="L15" s="345"/>
      <c r="M15" s="343">
        <v>0</v>
      </c>
      <c r="N15" s="345">
        <v>0</v>
      </c>
      <c r="O15" s="345"/>
      <c r="P15" s="343">
        <f>+Q15</f>
        <v>0</v>
      </c>
      <c r="Q15" s="345">
        <v>0</v>
      </c>
      <c r="R15" s="345"/>
      <c r="S15" s="343">
        <f t="shared" si="4"/>
        <v>4000</v>
      </c>
      <c r="T15" s="345">
        <f t="shared" si="15"/>
        <v>4000</v>
      </c>
      <c r="U15" s="345"/>
      <c r="V15" s="343">
        <f>W15+X15</f>
        <v>758060</v>
      </c>
      <c r="W15" s="345">
        <f>2000*379.03</f>
        <v>758060</v>
      </c>
      <c r="X15" s="345"/>
      <c r="Y15" s="343">
        <f>+Z15</f>
        <v>758060</v>
      </c>
      <c r="Z15" s="345">
        <f>2000*379.03</f>
        <v>758060</v>
      </c>
      <c r="AA15" s="70"/>
      <c r="AB15" s="339">
        <v>0</v>
      </c>
      <c r="AC15" s="70">
        <v>0</v>
      </c>
      <c r="AD15" s="70">
        <v>0</v>
      </c>
      <c r="AE15" s="30">
        <f t="shared" si="8"/>
        <v>0</v>
      </c>
      <c r="AF15" s="70"/>
      <c r="AG15" s="70"/>
      <c r="AH15" s="343">
        <f t="shared" si="17"/>
        <v>125079.9</v>
      </c>
      <c r="AI15" s="345">
        <f>330*379.03</f>
        <v>125079.9</v>
      </c>
      <c r="AJ15" s="345"/>
      <c r="AK15" s="343">
        <f t="shared" si="18"/>
        <v>1686683.4999999998</v>
      </c>
      <c r="AL15" s="345">
        <f>4450*379.03</f>
        <v>1686683.4999999998</v>
      </c>
      <c r="AM15" s="345"/>
      <c r="AN15" s="343">
        <f t="shared" si="19"/>
        <v>568545</v>
      </c>
      <c r="AO15" s="345">
        <f>1500*379.03</f>
        <v>568545</v>
      </c>
      <c r="AP15" s="345"/>
      <c r="AQ15" s="343">
        <f t="shared" si="20"/>
        <v>758060</v>
      </c>
      <c r="AR15" s="345">
        <f>2000*379.03</f>
        <v>758060</v>
      </c>
      <c r="AS15" s="345"/>
      <c r="AT15" s="343">
        <f t="shared" si="21"/>
        <v>758060</v>
      </c>
      <c r="AU15" s="345">
        <f>2000*379.03</f>
        <v>758060</v>
      </c>
      <c r="AV15" s="31"/>
      <c r="AW15" s="36"/>
      <c r="AX15" s="70"/>
      <c r="AY15" s="31"/>
    </row>
    <row r="16" spans="1:51">
      <c r="B16" s="963"/>
      <c r="C16" s="966"/>
      <c r="D16" s="966"/>
      <c r="E16" s="969"/>
      <c r="F16" s="13" t="s">
        <v>578</v>
      </c>
      <c r="G16" s="343">
        <f t="shared" si="0"/>
        <v>18500</v>
      </c>
      <c r="H16" s="345">
        <v>18500</v>
      </c>
      <c r="I16" s="345"/>
      <c r="J16" s="343">
        <f t="shared" si="1"/>
        <v>1702.3</v>
      </c>
      <c r="K16" s="345">
        <v>1702.3</v>
      </c>
      <c r="L16" s="345"/>
      <c r="M16" s="343">
        <f t="shared" si="2"/>
        <v>503.6547253144613</v>
      </c>
      <c r="N16" s="345">
        <f>195000/387.17</f>
        <v>503.6547253144613</v>
      </c>
      <c r="O16" s="345"/>
      <c r="P16" s="343">
        <f t="shared" si="3"/>
        <v>8000</v>
      </c>
      <c r="Q16" s="345">
        <f>3060400/382.55</f>
        <v>8000</v>
      </c>
      <c r="R16" s="345"/>
      <c r="S16" s="343">
        <f t="shared" si="4"/>
        <v>8294.045274685539</v>
      </c>
      <c r="T16" s="345">
        <f t="shared" si="15"/>
        <v>8294.045274685539</v>
      </c>
      <c r="U16" s="345"/>
      <c r="V16" s="343">
        <f t="shared" si="16"/>
        <v>1516120</v>
      </c>
      <c r="W16" s="345">
        <f>4000*379.03</f>
        <v>1516120</v>
      </c>
      <c r="X16" s="345"/>
      <c r="Y16" s="343">
        <f t="shared" si="14"/>
        <v>1627571.9804640601</v>
      </c>
      <c r="Z16" s="345">
        <f>4294.04527468554*379.03</f>
        <v>1627571.9804640601</v>
      </c>
      <c r="AA16" s="70"/>
      <c r="AB16" s="339">
        <f t="shared" si="7"/>
        <v>0</v>
      </c>
      <c r="AC16" s="70">
        <v>0</v>
      </c>
      <c r="AD16" s="70">
        <v>0</v>
      </c>
      <c r="AE16" s="30">
        <f t="shared" si="8"/>
        <v>0</v>
      </c>
      <c r="AF16" s="70"/>
      <c r="AG16" s="70"/>
      <c r="AH16" s="343">
        <f t="shared" si="17"/>
        <v>253950.09999999998</v>
      </c>
      <c r="AI16" s="345">
        <f>670*379.03</f>
        <v>253950.09999999998</v>
      </c>
      <c r="AJ16" s="345"/>
      <c r="AK16" s="343">
        <f t="shared" si="18"/>
        <v>3373366.9999999995</v>
      </c>
      <c r="AL16" s="345">
        <f>8900*379.03</f>
        <v>3373366.9999999995</v>
      </c>
      <c r="AM16" s="345"/>
      <c r="AN16" s="343">
        <f t="shared" si="19"/>
        <v>1137090</v>
      </c>
      <c r="AO16" s="345">
        <f>3000*379.03</f>
        <v>1137090</v>
      </c>
      <c r="AP16" s="345"/>
      <c r="AQ16" s="343">
        <f t="shared" si="20"/>
        <v>1516120</v>
      </c>
      <c r="AR16" s="345">
        <f>4000*379.03</f>
        <v>1516120</v>
      </c>
      <c r="AS16" s="345"/>
      <c r="AT16" s="343">
        <f t="shared" si="21"/>
        <v>1516120</v>
      </c>
      <c r="AU16" s="345">
        <f>4000*379.03</f>
        <v>1516120</v>
      </c>
      <c r="AV16" s="31"/>
      <c r="AW16" s="36"/>
      <c r="AX16" s="70"/>
      <c r="AY16" s="31"/>
    </row>
    <row r="17" spans="1:51">
      <c r="B17" s="963"/>
      <c r="C17" s="966"/>
      <c r="D17" s="966"/>
      <c r="E17" s="969"/>
      <c r="F17" s="13" t="s">
        <v>562</v>
      </c>
      <c r="G17" s="343">
        <f t="shared" si="0"/>
        <v>49000</v>
      </c>
      <c r="H17" s="345">
        <v>49000</v>
      </c>
      <c r="I17" s="345"/>
      <c r="J17" s="343">
        <f t="shared" si="1"/>
        <v>3727.6</v>
      </c>
      <c r="K17" s="345">
        <v>3727.6</v>
      </c>
      <c r="L17" s="345"/>
      <c r="M17" s="343">
        <f t="shared" si="2"/>
        <v>1640.1064132035024</v>
      </c>
      <c r="N17" s="345">
        <f>635000/387.17</f>
        <v>1640.1064132035024</v>
      </c>
      <c r="O17" s="345"/>
      <c r="P17" s="343">
        <f t="shared" si="3"/>
        <v>15000.130701869037</v>
      </c>
      <c r="Q17" s="345">
        <f>5738300/382.55</f>
        <v>15000.130701869037</v>
      </c>
      <c r="R17" s="345"/>
      <c r="S17" s="343">
        <f t="shared" si="4"/>
        <v>28632.162884927464</v>
      </c>
      <c r="T17" s="345">
        <f t="shared" si="15"/>
        <v>28632.162884927464</v>
      </c>
      <c r="U17" s="345"/>
      <c r="V17" s="343">
        <f t="shared" si="16"/>
        <v>2653210</v>
      </c>
      <c r="W17" s="345">
        <f>7000*379.03</f>
        <v>2653210</v>
      </c>
      <c r="X17" s="345"/>
      <c r="Y17" s="343">
        <f t="shared" si="14"/>
        <v>8199238.6982740695</v>
      </c>
      <c r="Z17" s="345">
        <f>21632.1628849275*379.03</f>
        <v>8199238.6982740695</v>
      </c>
      <c r="AA17" s="70"/>
      <c r="AB17" s="339">
        <f t="shared" si="7"/>
        <v>0</v>
      </c>
      <c r="AC17" s="70">
        <v>0</v>
      </c>
      <c r="AD17" s="70">
        <v>0</v>
      </c>
      <c r="AE17" s="30">
        <f t="shared" si="8"/>
        <v>0</v>
      </c>
      <c r="AF17" s="70"/>
      <c r="AG17" s="70"/>
      <c r="AH17" s="343">
        <f t="shared" si="17"/>
        <v>443465.1</v>
      </c>
      <c r="AI17" s="345">
        <f>1170*379.03</f>
        <v>443465.1</v>
      </c>
      <c r="AJ17" s="345"/>
      <c r="AK17" s="343">
        <f t="shared" si="18"/>
        <v>5897706.7999999998</v>
      </c>
      <c r="AL17" s="345">
        <f>15560*379.03</f>
        <v>5897706.7999999998</v>
      </c>
      <c r="AM17" s="345"/>
      <c r="AN17" s="343">
        <f t="shared" si="19"/>
        <v>1989907.4999999998</v>
      </c>
      <c r="AO17" s="345">
        <f>5250*379.03</f>
        <v>1989907.4999999998</v>
      </c>
      <c r="AP17" s="345"/>
      <c r="AQ17" s="343">
        <f t="shared" si="20"/>
        <v>2653210</v>
      </c>
      <c r="AR17" s="345">
        <f>7000*379.03</f>
        <v>2653210</v>
      </c>
      <c r="AS17" s="345"/>
      <c r="AT17" s="343">
        <f t="shared" si="21"/>
        <v>2653210</v>
      </c>
      <c r="AU17" s="345">
        <f>7000*379.03</f>
        <v>2653210</v>
      </c>
      <c r="AV17" s="31"/>
      <c r="AW17" s="36"/>
      <c r="AX17" s="70"/>
      <c r="AY17" s="31"/>
    </row>
    <row r="18" spans="1:51">
      <c r="B18" s="963"/>
      <c r="C18" s="966"/>
      <c r="D18" s="966"/>
      <c r="E18" s="969"/>
      <c r="F18" s="13" t="s">
        <v>579</v>
      </c>
      <c r="G18" s="343">
        <f t="shared" si="0"/>
        <v>15000</v>
      </c>
      <c r="H18" s="345">
        <v>15000</v>
      </c>
      <c r="I18" s="345"/>
      <c r="J18" s="343">
        <f t="shared" si="1"/>
        <v>3554</v>
      </c>
      <c r="K18" s="345">
        <v>3554</v>
      </c>
      <c r="L18" s="345"/>
      <c r="M18" s="343">
        <f t="shared" si="2"/>
        <v>0</v>
      </c>
      <c r="N18" s="345">
        <v>0</v>
      </c>
      <c r="O18" s="345"/>
      <c r="P18" s="343">
        <f t="shared" si="3"/>
        <v>0</v>
      </c>
      <c r="Q18" s="345">
        <v>0</v>
      </c>
      <c r="R18" s="345"/>
      <c r="S18" s="343">
        <f t="shared" si="4"/>
        <v>11446</v>
      </c>
      <c r="T18" s="345">
        <f t="shared" si="15"/>
        <v>11446</v>
      </c>
      <c r="U18" s="345"/>
      <c r="V18" s="343">
        <f t="shared" si="16"/>
        <v>0</v>
      </c>
      <c r="W18" s="345">
        <v>0</v>
      </c>
      <c r="X18" s="345"/>
      <c r="Y18" s="343">
        <f t="shared" si="6"/>
        <v>4338377.38</v>
      </c>
      <c r="Z18" s="345">
        <f>11446*379.03</f>
        <v>4338377.38</v>
      </c>
      <c r="AA18" s="70"/>
      <c r="AB18" s="339">
        <f t="shared" si="7"/>
        <v>0</v>
      </c>
      <c r="AC18" s="70">
        <v>0</v>
      </c>
      <c r="AD18" s="70">
        <v>0</v>
      </c>
      <c r="AE18" s="30">
        <f t="shared" si="8"/>
        <v>0</v>
      </c>
      <c r="AF18" s="70"/>
      <c r="AG18" s="70"/>
      <c r="AH18" s="343">
        <f t="shared" si="17"/>
        <v>0</v>
      </c>
      <c r="AI18" s="345">
        <v>0</v>
      </c>
      <c r="AJ18" s="345"/>
      <c r="AK18" s="343">
        <f t="shared" si="18"/>
        <v>0</v>
      </c>
      <c r="AL18" s="345">
        <v>0</v>
      </c>
      <c r="AM18" s="345"/>
      <c r="AN18" s="343">
        <f t="shared" si="19"/>
        <v>0</v>
      </c>
      <c r="AO18" s="345">
        <v>0</v>
      </c>
      <c r="AP18" s="345"/>
      <c r="AQ18" s="343">
        <f t="shared" si="20"/>
        <v>0</v>
      </c>
      <c r="AR18" s="345">
        <v>0</v>
      </c>
      <c r="AS18" s="345"/>
      <c r="AT18" s="343">
        <f t="shared" si="21"/>
        <v>0</v>
      </c>
      <c r="AU18" s="345">
        <v>0</v>
      </c>
      <c r="AV18" s="31"/>
      <c r="AW18" s="36"/>
      <c r="AX18" s="70"/>
      <c r="AY18" s="31"/>
    </row>
    <row r="19" spans="1:51">
      <c r="B19" s="963"/>
      <c r="C19" s="966"/>
      <c r="D19" s="966"/>
      <c r="E19" s="969"/>
      <c r="F19" s="13" t="s">
        <v>563</v>
      </c>
      <c r="G19" s="343">
        <f t="shared" si="0"/>
        <v>33000</v>
      </c>
      <c r="H19" s="345">
        <v>33000</v>
      </c>
      <c r="I19" s="345"/>
      <c r="J19" s="343">
        <f t="shared" si="1"/>
        <v>425</v>
      </c>
      <c r="K19" s="345">
        <v>425</v>
      </c>
      <c r="L19" s="345"/>
      <c r="M19" s="343">
        <f t="shared" si="2"/>
        <v>7214.660226773768</v>
      </c>
      <c r="N19" s="345">
        <f>2793300/387.17</f>
        <v>7214.660226773768</v>
      </c>
      <c r="O19" s="345"/>
      <c r="P19" s="343">
        <f t="shared" si="3"/>
        <v>9000.6535093451839</v>
      </c>
      <c r="Q19" s="345">
        <f>3443200/382.55</f>
        <v>9000.6535093451839</v>
      </c>
      <c r="R19" s="345"/>
      <c r="S19" s="343">
        <f t="shared" si="4"/>
        <v>16359.686263881047</v>
      </c>
      <c r="T19" s="345">
        <f t="shared" si="15"/>
        <v>16359.686263881047</v>
      </c>
      <c r="U19" s="345"/>
      <c r="V19" s="343">
        <f t="shared" si="16"/>
        <v>1895149.9999999998</v>
      </c>
      <c r="W19" s="345">
        <f>5000*379.03</f>
        <v>1895149.9999999998</v>
      </c>
      <c r="X19" s="345"/>
      <c r="Y19" s="343">
        <f t="shared" si="6"/>
        <v>4305661.8845988149</v>
      </c>
      <c r="Z19" s="345">
        <f>11359.686263881*379.03</f>
        <v>4305661.8845988149</v>
      </c>
      <c r="AA19" s="70"/>
      <c r="AB19" s="339">
        <f t="shared" si="7"/>
        <v>0</v>
      </c>
      <c r="AC19" s="70">
        <v>0</v>
      </c>
      <c r="AD19" s="70">
        <v>0</v>
      </c>
      <c r="AE19" s="30">
        <f t="shared" si="8"/>
        <v>0</v>
      </c>
      <c r="AF19" s="70"/>
      <c r="AG19" s="70"/>
      <c r="AH19" s="343">
        <f t="shared" si="17"/>
        <v>314594.89999999997</v>
      </c>
      <c r="AI19" s="345">
        <f>830*379.03</f>
        <v>314594.89999999997</v>
      </c>
      <c r="AJ19" s="345"/>
      <c r="AK19" s="343">
        <f t="shared" si="18"/>
        <v>4169329.9999999995</v>
      </c>
      <c r="AL19" s="345">
        <f>11000*379.03</f>
        <v>4169329.9999999995</v>
      </c>
      <c r="AM19" s="345"/>
      <c r="AN19" s="343">
        <f t="shared" si="19"/>
        <v>1421362.5</v>
      </c>
      <c r="AO19" s="345">
        <f>3750*379.03</f>
        <v>1421362.5</v>
      </c>
      <c r="AP19" s="345"/>
      <c r="AQ19" s="343">
        <f t="shared" si="20"/>
        <v>1895149.9999999998</v>
      </c>
      <c r="AR19" s="345">
        <f>5000*379.03</f>
        <v>1895149.9999999998</v>
      </c>
      <c r="AS19" s="345"/>
      <c r="AT19" s="343">
        <f t="shared" si="21"/>
        <v>1895149.9999999998</v>
      </c>
      <c r="AU19" s="345">
        <f>5000*379.03</f>
        <v>1895149.9999999998</v>
      </c>
      <c r="AV19" s="31"/>
      <c r="AW19" s="36"/>
      <c r="AX19" s="70"/>
      <c r="AY19" s="31"/>
    </row>
    <row r="20" spans="1:51">
      <c r="B20" s="963"/>
      <c r="C20" s="966"/>
      <c r="D20" s="966"/>
      <c r="E20" s="969"/>
      <c r="F20" s="348" t="s">
        <v>564</v>
      </c>
      <c r="G20" s="343">
        <f t="shared" si="0"/>
        <v>22368</v>
      </c>
      <c r="H20" s="345">
        <v>22368</v>
      </c>
      <c r="I20" s="345"/>
      <c r="J20" s="343">
        <f t="shared" si="1"/>
        <v>0</v>
      </c>
      <c r="K20" s="345">
        <v>0</v>
      </c>
      <c r="L20" s="345"/>
      <c r="M20" s="343">
        <f t="shared" si="2"/>
        <v>4414.2882971304589</v>
      </c>
      <c r="N20" s="345">
        <f>1709080/387.17</f>
        <v>4414.2882971304589</v>
      </c>
      <c r="O20" s="345"/>
      <c r="P20" s="343">
        <f t="shared" si="3"/>
        <v>1499.9346490654816</v>
      </c>
      <c r="Q20" s="345">
        <f>573800/382.55</f>
        <v>1499.9346490654816</v>
      </c>
      <c r="R20" s="345"/>
      <c r="S20" s="343">
        <f t="shared" si="4"/>
        <v>16453.77705380406</v>
      </c>
      <c r="T20" s="345">
        <f t="shared" si="15"/>
        <v>16453.77705380406</v>
      </c>
      <c r="U20" s="345"/>
      <c r="V20" s="343">
        <f t="shared" si="16"/>
        <v>568545</v>
      </c>
      <c r="W20" s="345">
        <f>1500*379.03</f>
        <v>568545</v>
      </c>
      <c r="X20" s="345"/>
      <c r="Y20" s="343">
        <f t="shared" si="6"/>
        <v>5667930.1167033678</v>
      </c>
      <c r="Z20" s="345">
        <f>14953.7770538041*379.03</f>
        <v>5667930.1167033678</v>
      </c>
      <c r="AA20" s="70"/>
      <c r="AB20" s="339">
        <f t="shared" si="7"/>
        <v>0</v>
      </c>
      <c r="AC20" s="70">
        <v>0</v>
      </c>
      <c r="AD20" s="70">
        <v>0</v>
      </c>
      <c r="AE20" s="30">
        <f t="shared" si="8"/>
        <v>0</v>
      </c>
      <c r="AF20" s="70"/>
      <c r="AG20" s="70"/>
      <c r="AH20" s="343">
        <f t="shared" si="17"/>
        <v>94757.5</v>
      </c>
      <c r="AI20" s="345">
        <f>250*379.03</f>
        <v>94757.5</v>
      </c>
      <c r="AJ20" s="345"/>
      <c r="AK20" s="343">
        <f t="shared" si="18"/>
        <v>1250799</v>
      </c>
      <c r="AL20" s="345">
        <f>3300*379.03</f>
        <v>1250799</v>
      </c>
      <c r="AM20" s="345"/>
      <c r="AN20" s="343">
        <f t="shared" si="19"/>
        <v>428303.89999999997</v>
      </c>
      <c r="AO20" s="345">
        <f>1130*379.03</f>
        <v>428303.89999999997</v>
      </c>
      <c r="AP20" s="345"/>
      <c r="AQ20" s="343">
        <f t="shared" si="20"/>
        <v>568545</v>
      </c>
      <c r="AR20" s="345">
        <f>1500*379.03</f>
        <v>568545</v>
      </c>
      <c r="AS20" s="345"/>
      <c r="AT20" s="343">
        <f t="shared" si="21"/>
        <v>568545</v>
      </c>
      <c r="AU20" s="345">
        <f>1500*379.03</f>
        <v>568545</v>
      </c>
      <c r="AV20" s="31"/>
      <c r="AW20" s="36"/>
      <c r="AX20" s="70"/>
      <c r="AY20" s="31"/>
    </row>
    <row r="21" spans="1:51">
      <c r="B21" s="963"/>
      <c r="C21" s="966"/>
      <c r="D21" s="966"/>
      <c r="E21" s="969"/>
      <c r="F21" s="13" t="s">
        <v>580</v>
      </c>
      <c r="G21" s="343">
        <f t="shared" si="0"/>
        <v>69500</v>
      </c>
      <c r="H21" s="345">
        <v>69500</v>
      </c>
      <c r="I21" s="345"/>
      <c r="J21" s="343">
        <f t="shared" si="1"/>
        <v>7063</v>
      </c>
      <c r="K21" s="345">
        <v>7063</v>
      </c>
      <c r="L21" s="345"/>
      <c r="M21" s="343">
        <f t="shared" si="2"/>
        <v>0</v>
      </c>
      <c r="N21" s="345">
        <v>0</v>
      </c>
      <c r="O21" s="345"/>
      <c r="P21" s="343">
        <f t="shared" si="3"/>
        <v>18500.065350934517</v>
      </c>
      <c r="Q21" s="345">
        <f>7077200/382.55</f>
        <v>18500.065350934517</v>
      </c>
      <c r="R21" s="345"/>
      <c r="S21" s="343">
        <f t="shared" si="4"/>
        <v>43936.934649065486</v>
      </c>
      <c r="T21" s="345">
        <f t="shared" si="15"/>
        <v>43936.934649065486</v>
      </c>
      <c r="U21" s="345"/>
      <c r="V21" s="343">
        <f t="shared" si="16"/>
        <v>2653210</v>
      </c>
      <c r="W21" s="345">
        <f>7000*379.03</f>
        <v>2653210</v>
      </c>
      <c r="X21" s="345"/>
      <c r="Y21" s="343">
        <f t="shared" si="6"/>
        <v>14000206.340035295</v>
      </c>
      <c r="Z21" s="345">
        <f>36936.9346490655*379.03</f>
        <v>14000206.340035295</v>
      </c>
      <c r="AA21" s="70"/>
      <c r="AB21" s="339">
        <f t="shared" si="7"/>
        <v>0</v>
      </c>
      <c r="AC21" s="70">
        <v>0</v>
      </c>
      <c r="AD21" s="70">
        <v>0</v>
      </c>
      <c r="AE21" s="30">
        <f t="shared" si="8"/>
        <v>0</v>
      </c>
      <c r="AF21" s="70"/>
      <c r="AG21" s="70"/>
      <c r="AH21" s="343">
        <f t="shared" si="17"/>
        <v>443465.1</v>
      </c>
      <c r="AI21" s="345">
        <f>1170*379.03</f>
        <v>443465.1</v>
      </c>
      <c r="AJ21" s="345"/>
      <c r="AK21" s="343">
        <f t="shared" si="18"/>
        <v>5897706.7999999998</v>
      </c>
      <c r="AL21" s="345">
        <f>15560*379.03</f>
        <v>5897706.7999999998</v>
      </c>
      <c r="AM21" s="345"/>
      <c r="AN21" s="343">
        <f t="shared" si="19"/>
        <v>1989907.4999999998</v>
      </c>
      <c r="AO21" s="345">
        <f>5250*379.03</f>
        <v>1989907.4999999998</v>
      </c>
      <c r="AP21" s="345"/>
      <c r="AQ21" s="343">
        <f t="shared" si="20"/>
        <v>2653210</v>
      </c>
      <c r="AR21" s="345">
        <f>7000*379.03</f>
        <v>2653210</v>
      </c>
      <c r="AS21" s="345"/>
      <c r="AT21" s="343">
        <f t="shared" si="21"/>
        <v>2653210</v>
      </c>
      <c r="AU21" s="345">
        <f>7000*379.03</f>
        <v>2653210</v>
      </c>
      <c r="AV21" s="31"/>
      <c r="AW21" s="36"/>
      <c r="AX21" s="70"/>
      <c r="AY21" s="31"/>
    </row>
    <row r="22" spans="1:51">
      <c r="B22" s="963"/>
      <c r="C22" s="966"/>
      <c r="D22" s="966"/>
      <c r="E22" s="969"/>
      <c r="F22" s="348" t="s">
        <v>581</v>
      </c>
      <c r="G22" s="343">
        <f t="shared" si="0"/>
        <v>533500</v>
      </c>
      <c r="H22" s="345">
        <v>533500</v>
      </c>
      <c r="I22" s="345"/>
      <c r="J22" s="343">
        <f t="shared" si="1"/>
        <v>0</v>
      </c>
      <c r="K22" s="345">
        <v>0</v>
      </c>
      <c r="L22" s="345"/>
      <c r="M22" s="343">
        <f t="shared" si="2"/>
        <v>15807.009840638479</v>
      </c>
      <c r="N22" s="345">
        <f>6120000/387.17</f>
        <v>15807.009840638479</v>
      </c>
      <c r="O22" s="345"/>
      <c r="P22" s="343">
        <f t="shared" si="3"/>
        <v>263250</v>
      </c>
      <c r="Q22" s="345">
        <v>263250</v>
      </c>
      <c r="R22" s="345"/>
      <c r="S22" s="343">
        <f t="shared" si="4"/>
        <v>254442.99015936151</v>
      </c>
      <c r="T22" s="345">
        <f t="shared" si="15"/>
        <v>254442.99015936151</v>
      </c>
      <c r="U22" s="345"/>
      <c r="V22" s="343">
        <f t="shared" si="16"/>
        <v>50790020</v>
      </c>
      <c r="W22" s="345">
        <f>134000*379.03</f>
        <v>50790020</v>
      </c>
      <c r="X22" s="345"/>
      <c r="Y22" s="343">
        <f t="shared" si="6"/>
        <v>45651506.560102977</v>
      </c>
      <c r="Z22" s="345">
        <f>120442.990159362*379.03</f>
        <v>45651506.560102977</v>
      </c>
      <c r="AA22" s="70"/>
      <c r="AB22" s="339">
        <f t="shared" si="7"/>
        <v>0</v>
      </c>
      <c r="AC22" s="70">
        <v>0</v>
      </c>
      <c r="AD22" s="70">
        <v>0</v>
      </c>
      <c r="AE22" s="30">
        <f t="shared" si="8"/>
        <v>0</v>
      </c>
      <c r="AF22" s="70"/>
      <c r="AG22" s="70"/>
      <c r="AH22" s="343">
        <f t="shared" si="17"/>
        <v>8482691.3999999985</v>
      </c>
      <c r="AI22" s="345">
        <f>22380*379.03</f>
        <v>8482691.3999999985</v>
      </c>
      <c r="AJ22" s="345"/>
      <c r="AK22" s="343">
        <f t="shared" si="18"/>
        <v>11295094</v>
      </c>
      <c r="AL22" s="345">
        <f>29800*379.03</f>
        <v>11295094</v>
      </c>
      <c r="AM22" s="345"/>
      <c r="AN22" s="343">
        <f t="shared" si="19"/>
        <v>38092515</v>
      </c>
      <c r="AO22" s="345">
        <f>100500*379.03</f>
        <v>38092515</v>
      </c>
      <c r="AP22" s="345"/>
      <c r="AQ22" s="343">
        <f t="shared" si="20"/>
        <v>50790020</v>
      </c>
      <c r="AR22" s="345">
        <f>134000*379.03</f>
        <v>50790020</v>
      </c>
      <c r="AS22" s="345"/>
      <c r="AT22" s="343">
        <f t="shared" si="21"/>
        <v>50790020</v>
      </c>
      <c r="AU22" s="345">
        <f>134000*379.03</f>
        <v>50790020</v>
      </c>
      <c r="AV22" s="31"/>
      <c r="AW22" s="36"/>
      <c r="AX22" s="70"/>
      <c r="AY22" s="31"/>
    </row>
    <row r="23" spans="1:51">
      <c r="B23" s="963"/>
      <c r="C23" s="966"/>
      <c r="D23" s="966"/>
      <c r="E23" s="969"/>
      <c r="F23" s="13" t="s">
        <v>582</v>
      </c>
      <c r="G23" s="343">
        <f t="shared" si="0"/>
        <v>3000</v>
      </c>
      <c r="H23" s="345">
        <v>3000</v>
      </c>
      <c r="I23" s="345"/>
      <c r="J23" s="343">
        <f t="shared" si="1"/>
        <v>0</v>
      </c>
      <c r="K23" s="345">
        <v>0</v>
      </c>
      <c r="L23" s="345"/>
      <c r="M23" s="343">
        <f t="shared" si="2"/>
        <v>0</v>
      </c>
      <c r="N23" s="345">
        <v>0</v>
      </c>
      <c r="O23" s="345"/>
      <c r="P23" s="343">
        <f t="shared" si="3"/>
        <v>999.86929813096322</v>
      </c>
      <c r="Q23" s="345">
        <f>382500/382.55</f>
        <v>999.86929813096322</v>
      </c>
      <c r="R23" s="345"/>
      <c r="S23" s="343">
        <f t="shared" si="4"/>
        <v>2000.1307018690368</v>
      </c>
      <c r="T23" s="345">
        <f t="shared" si="15"/>
        <v>2000.1307018690368</v>
      </c>
      <c r="U23" s="345"/>
      <c r="V23" s="343">
        <f t="shared" si="16"/>
        <v>379030</v>
      </c>
      <c r="W23" s="345">
        <f>1000*379.03</f>
        <v>379030</v>
      </c>
      <c r="X23" s="345"/>
      <c r="Y23" s="343">
        <f>Z23+AA23</f>
        <v>379079.5399294222</v>
      </c>
      <c r="Z23" s="345">
        <f>1000.13070186904*379.03</f>
        <v>379079.5399294222</v>
      </c>
      <c r="AA23" s="70"/>
      <c r="AB23" s="339">
        <f t="shared" si="7"/>
        <v>0</v>
      </c>
      <c r="AC23" s="70">
        <v>0</v>
      </c>
      <c r="AD23" s="70">
        <v>0</v>
      </c>
      <c r="AE23" s="30">
        <f t="shared" si="8"/>
        <v>0</v>
      </c>
      <c r="AF23" s="70"/>
      <c r="AG23" s="70"/>
      <c r="AH23" s="343">
        <f t="shared" si="17"/>
        <v>60644.799999999996</v>
      </c>
      <c r="AI23" s="345">
        <f>160*379.03</f>
        <v>60644.799999999996</v>
      </c>
      <c r="AJ23" s="345"/>
      <c r="AK23" s="343">
        <f t="shared" si="18"/>
        <v>833865.99999999988</v>
      </c>
      <c r="AL23" s="345">
        <f>2200*379.03</f>
        <v>833865.99999999988</v>
      </c>
      <c r="AM23" s="345"/>
      <c r="AN23" s="343">
        <f t="shared" si="19"/>
        <v>284272.5</v>
      </c>
      <c r="AO23" s="345">
        <f>750*379.03</f>
        <v>284272.5</v>
      </c>
      <c r="AP23" s="345"/>
      <c r="AQ23" s="343">
        <f t="shared" si="20"/>
        <v>379030</v>
      </c>
      <c r="AR23" s="345">
        <f>1000*379.03</f>
        <v>379030</v>
      </c>
      <c r="AS23" s="345"/>
      <c r="AT23" s="343">
        <f t="shared" si="21"/>
        <v>379030</v>
      </c>
      <c r="AU23" s="345">
        <f>1000*379.03</f>
        <v>379030</v>
      </c>
      <c r="AV23" s="31"/>
      <c r="AW23" s="36"/>
      <c r="AX23" s="70"/>
      <c r="AY23" s="31"/>
    </row>
    <row r="24" spans="1:51">
      <c r="B24" s="963"/>
      <c r="C24" s="966"/>
      <c r="D24" s="966"/>
      <c r="E24" s="969"/>
      <c r="F24" s="13" t="s">
        <v>569</v>
      </c>
      <c r="G24" s="343">
        <f t="shared" si="0"/>
        <v>10000</v>
      </c>
      <c r="H24" s="345">
        <v>10000</v>
      </c>
      <c r="I24" s="345"/>
      <c r="J24" s="343">
        <f t="shared" si="1"/>
        <v>1915</v>
      </c>
      <c r="K24" s="345">
        <v>1915</v>
      </c>
      <c r="L24" s="345"/>
      <c r="M24" s="343">
        <f t="shared" si="2"/>
        <v>0</v>
      </c>
      <c r="N24" s="345">
        <v>0</v>
      </c>
      <c r="O24" s="345"/>
      <c r="P24" s="343">
        <f t="shared" si="3"/>
        <v>0</v>
      </c>
      <c r="Q24" s="345">
        <v>0</v>
      </c>
      <c r="R24" s="345"/>
      <c r="S24" s="343">
        <f t="shared" si="4"/>
        <v>8085</v>
      </c>
      <c r="T24" s="345">
        <f t="shared" si="15"/>
        <v>8085</v>
      </c>
      <c r="U24" s="345"/>
      <c r="V24" s="343">
        <f t="shared" si="16"/>
        <v>0</v>
      </c>
      <c r="W24" s="345">
        <v>0</v>
      </c>
      <c r="X24" s="345"/>
      <c r="Y24" s="343">
        <f t="shared" si="6"/>
        <v>3064457.55</v>
      </c>
      <c r="Z24" s="345">
        <f>8085*379.03</f>
        <v>3064457.55</v>
      </c>
      <c r="AA24" s="70"/>
      <c r="AB24" s="339">
        <f t="shared" si="7"/>
        <v>0</v>
      </c>
      <c r="AC24" s="70">
        <v>0</v>
      </c>
      <c r="AD24" s="70">
        <v>0</v>
      </c>
      <c r="AE24" s="30">
        <f t="shared" si="8"/>
        <v>0</v>
      </c>
      <c r="AF24" s="70"/>
      <c r="AG24" s="70"/>
      <c r="AH24" s="343">
        <f t="shared" si="17"/>
        <v>0</v>
      </c>
      <c r="AI24" s="345">
        <v>0</v>
      </c>
      <c r="AJ24" s="345"/>
      <c r="AK24" s="343">
        <f t="shared" si="18"/>
        <v>0</v>
      </c>
      <c r="AL24" s="345">
        <v>0</v>
      </c>
      <c r="AM24" s="345"/>
      <c r="AN24" s="343">
        <f t="shared" si="19"/>
        <v>0</v>
      </c>
      <c r="AO24" s="345">
        <v>0</v>
      </c>
      <c r="AP24" s="345"/>
      <c r="AQ24" s="343">
        <f t="shared" si="20"/>
        <v>0</v>
      </c>
      <c r="AR24" s="345">
        <v>0</v>
      </c>
      <c r="AS24" s="345"/>
      <c r="AT24" s="343">
        <f t="shared" si="21"/>
        <v>0</v>
      </c>
      <c r="AU24" s="345">
        <v>0</v>
      </c>
      <c r="AV24" s="31"/>
      <c r="AW24" s="36"/>
      <c r="AX24" s="70"/>
      <c r="AY24" s="31"/>
    </row>
    <row r="25" spans="1:51">
      <c r="B25" s="963"/>
      <c r="C25" s="966"/>
      <c r="D25" s="966"/>
      <c r="E25" s="969"/>
      <c r="F25" s="13" t="s">
        <v>583</v>
      </c>
      <c r="G25" s="343">
        <f t="shared" si="0"/>
        <v>90000</v>
      </c>
      <c r="H25" s="345">
        <v>90000</v>
      </c>
      <c r="I25" s="345"/>
      <c r="J25" s="343">
        <f t="shared" si="1"/>
        <v>0</v>
      </c>
      <c r="K25" s="345">
        <v>0</v>
      </c>
      <c r="L25" s="345"/>
      <c r="M25" s="343">
        <f t="shared" si="2"/>
        <v>32718.676550352557</v>
      </c>
      <c r="N25" s="345">
        <f>12667690/387.17</f>
        <v>32718.676550352557</v>
      </c>
      <c r="O25" s="345"/>
      <c r="P25" s="343">
        <f t="shared" si="3"/>
        <v>34999.869298130965</v>
      </c>
      <c r="Q25" s="345">
        <f>13389200/382.55</f>
        <v>34999.869298130965</v>
      </c>
      <c r="R25" s="345"/>
      <c r="S25" s="343">
        <f t="shared" si="4"/>
        <v>22281.454151516482</v>
      </c>
      <c r="T25" s="345">
        <f t="shared" si="15"/>
        <v>22281.454151516482</v>
      </c>
      <c r="U25" s="345"/>
      <c r="V25" s="343">
        <f t="shared" si="16"/>
        <v>0</v>
      </c>
      <c r="W25" s="345">
        <v>0</v>
      </c>
      <c r="X25" s="345"/>
      <c r="Y25" s="343">
        <f t="shared" si="6"/>
        <v>8445339.5670492984</v>
      </c>
      <c r="Z25" s="345">
        <f>22281.4541515165*379.03</f>
        <v>8445339.5670492984</v>
      </c>
      <c r="AA25" s="70"/>
      <c r="AB25" s="339">
        <f t="shared" si="7"/>
        <v>0</v>
      </c>
      <c r="AC25" s="70">
        <v>0</v>
      </c>
      <c r="AD25" s="70">
        <v>0</v>
      </c>
      <c r="AE25" s="30">
        <f t="shared" si="8"/>
        <v>0</v>
      </c>
      <c r="AF25" s="70"/>
      <c r="AG25" s="70"/>
      <c r="AH25" s="343">
        <f t="shared" si="17"/>
        <v>0</v>
      </c>
      <c r="AI25" s="345">
        <v>0</v>
      </c>
      <c r="AJ25" s="345"/>
      <c r="AK25" s="343">
        <f t="shared" si="18"/>
        <v>0</v>
      </c>
      <c r="AL25" s="345">
        <v>0</v>
      </c>
      <c r="AM25" s="345"/>
      <c r="AN25" s="343">
        <f t="shared" si="19"/>
        <v>0</v>
      </c>
      <c r="AO25" s="345">
        <v>0</v>
      </c>
      <c r="AP25" s="345"/>
      <c r="AQ25" s="343">
        <f t="shared" si="20"/>
        <v>0</v>
      </c>
      <c r="AR25" s="345">
        <v>0</v>
      </c>
      <c r="AS25" s="345"/>
      <c r="AT25" s="343">
        <f t="shared" si="21"/>
        <v>0</v>
      </c>
      <c r="AU25" s="345">
        <v>0</v>
      </c>
      <c r="AV25" s="31"/>
      <c r="AW25" s="36"/>
      <c r="AX25" s="70"/>
      <c r="AY25" s="31"/>
    </row>
    <row r="26" spans="1:51">
      <c r="B26" s="963"/>
      <c r="C26" s="966"/>
      <c r="D26" s="966"/>
      <c r="E26" s="969"/>
      <c r="F26" s="13" t="s">
        <v>570</v>
      </c>
      <c r="G26" s="343">
        <f t="shared" si="0"/>
        <v>176250</v>
      </c>
      <c r="H26" s="345">
        <v>176250</v>
      </c>
      <c r="I26" s="345"/>
      <c r="J26" s="343">
        <f t="shared" si="1"/>
        <v>17401.900000000001</v>
      </c>
      <c r="K26" s="345">
        <v>17401.900000000001</v>
      </c>
      <c r="L26" s="345"/>
      <c r="M26" s="343">
        <f t="shared" si="2"/>
        <v>59954.162254306888</v>
      </c>
      <c r="N26" s="345">
        <f>23212453/387.17</f>
        <v>59954.162254306888</v>
      </c>
      <c r="O26" s="345"/>
      <c r="P26" s="343">
        <f t="shared" si="3"/>
        <v>51699.908508691675</v>
      </c>
      <c r="Q26" s="345">
        <f>19777800/382.55</f>
        <v>51699.908508691675</v>
      </c>
      <c r="R26" s="345"/>
      <c r="S26" s="343">
        <f t="shared" si="4"/>
        <v>47194.029237001436</v>
      </c>
      <c r="T26" s="345">
        <f t="shared" si="15"/>
        <v>47194.029237001436</v>
      </c>
      <c r="U26" s="345"/>
      <c r="V26" s="343">
        <f t="shared" si="16"/>
        <v>8509223.5</v>
      </c>
      <c r="W26" s="345">
        <f>22450*379.03</f>
        <v>8509223.5</v>
      </c>
      <c r="X26" s="345"/>
      <c r="Y26" s="343">
        <f t="shared" si="6"/>
        <v>9378729.4017006401</v>
      </c>
      <c r="Z26" s="345">
        <f>24744.0292370014*379.03</f>
        <v>9378729.4017006401</v>
      </c>
      <c r="AA26" s="70"/>
      <c r="AB26" s="339">
        <f t="shared" si="7"/>
        <v>0</v>
      </c>
      <c r="AC26" s="70">
        <v>0</v>
      </c>
      <c r="AD26" s="70">
        <v>0</v>
      </c>
      <c r="AE26" s="30">
        <f t="shared" si="8"/>
        <v>0</v>
      </c>
      <c r="AF26" s="70"/>
      <c r="AG26" s="70"/>
      <c r="AH26" s="343">
        <f>+AI26</f>
        <v>1421362.5</v>
      </c>
      <c r="AI26" s="345">
        <f>3750*379.03</f>
        <v>1421362.5</v>
      </c>
      <c r="AJ26" s="345"/>
      <c r="AK26" s="343">
        <f t="shared" si="18"/>
        <v>18913597</v>
      </c>
      <c r="AL26" s="345">
        <f>49900*379.03</f>
        <v>18913597</v>
      </c>
      <c r="AM26" s="345"/>
      <c r="AN26" s="343">
        <f t="shared" si="19"/>
        <v>6367704</v>
      </c>
      <c r="AO26" s="345">
        <f>16800*379.03</f>
        <v>6367704</v>
      </c>
      <c r="AP26" s="345"/>
      <c r="AQ26" s="343">
        <f t="shared" si="20"/>
        <v>8509223.5</v>
      </c>
      <c r="AR26" s="345">
        <f>22450*379.03</f>
        <v>8509223.5</v>
      </c>
      <c r="AS26" s="345"/>
      <c r="AT26" s="343">
        <f t="shared" si="21"/>
        <v>8509223.5</v>
      </c>
      <c r="AU26" s="345">
        <f>22450*379.03</f>
        <v>8509223.5</v>
      </c>
      <c r="AV26" s="31"/>
      <c r="AW26" s="36"/>
      <c r="AX26" s="70"/>
      <c r="AY26" s="31"/>
    </row>
    <row r="27" spans="1:51">
      <c r="B27" s="963"/>
      <c r="C27" s="966"/>
      <c r="D27" s="966"/>
      <c r="E27" s="969"/>
      <c r="F27" s="13" t="s">
        <v>584</v>
      </c>
      <c r="G27" s="343">
        <f t="shared" si="0"/>
        <v>700</v>
      </c>
      <c r="H27" s="345">
        <v>700</v>
      </c>
      <c r="I27" s="345"/>
      <c r="J27" s="343">
        <f t="shared" si="1"/>
        <v>0</v>
      </c>
      <c r="K27" s="345">
        <v>0</v>
      </c>
      <c r="L27" s="345"/>
      <c r="M27" s="343">
        <f>+N27</f>
        <v>74.385928661828132</v>
      </c>
      <c r="N27" s="345">
        <f>28800/387.17</f>
        <v>74.385928661828132</v>
      </c>
      <c r="O27" s="345"/>
      <c r="P27" s="343">
        <f>+Q27</f>
        <v>0</v>
      </c>
      <c r="Q27" s="345">
        <v>0</v>
      </c>
      <c r="R27" s="345"/>
      <c r="S27" s="343">
        <f t="shared" si="4"/>
        <v>625.61407133817193</v>
      </c>
      <c r="T27" s="345">
        <f t="shared" si="15"/>
        <v>625.61407133817193</v>
      </c>
      <c r="U27" s="345"/>
      <c r="V27" s="343">
        <f t="shared" si="16"/>
        <v>0</v>
      </c>
      <c r="W27" s="345">
        <v>0</v>
      </c>
      <c r="X27" s="345"/>
      <c r="Y27" s="343">
        <f>+Z27</f>
        <v>237126.50145930733</v>
      </c>
      <c r="Z27" s="345">
        <f>625.614071338172*379.03</f>
        <v>237126.50145930733</v>
      </c>
      <c r="AA27" s="70"/>
      <c r="AB27" s="339">
        <f t="shared" si="7"/>
        <v>0</v>
      </c>
      <c r="AC27" s="70">
        <v>0</v>
      </c>
      <c r="AD27" s="70">
        <v>0</v>
      </c>
      <c r="AE27" s="30"/>
      <c r="AF27" s="70"/>
      <c r="AG27" s="70"/>
      <c r="AH27" s="343">
        <f t="shared" si="17"/>
        <v>0</v>
      </c>
      <c r="AI27" s="345">
        <v>0</v>
      </c>
      <c r="AJ27" s="345"/>
      <c r="AK27" s="343">
        <f t="shared" si="18"/>
        <v>0</v>
      </c>
      <c r="AL27" s="345">
        <v>0</v>
      </c>
      <c r="AM27" s="345"/>
      <c r="AN27" s="343">
        <f t="shared" si="19"/>
        <v>0</v>
      </c>
      <c r="AO27" s="345">
        <v>0</v>
      </c>
      <c r="AP27" s="345"/>
      <c r="AQ27" s="343">
        <f t="shared" si="20"/>
        <v>0</v>
      </c>
      <c r="AR27" s="345">
        <v>0</v>
      </c>
      <c r="AS27" s="345"/>
      <c r="AT27" s="343">
        <f t="shared" si="21"/>
        <v>0</v>
      </c>
      <c r="AU27" s="345">
        <v>0</v>
      </c>
      <c r="AV27" s="31"/>
      <c r="AW27" s="36"/>
      <c r="AX27" s="70"/>
      <c r="AY27" s="31"/>
    </row>
    <row r="28" spans="1:51">
      <c r="B28" s="964"/>
      <c r="C28" s="967"/>
      <c r="D28" s="967"/>
      <c r="E28" s="970"/>
      <c r="F28" s="13" t="s">
        <v>571</v>
      </c>
      <c r="G28" s="343">
        <f t="shared" si="0"/>
        <v>34000</v>
      </c>
      <c r="H28" s="345">
        <v>34000</v>
      </c>
      <c r="I28" s="345"/>
      <c r="J28" s="343">
        <f t="shared" si="1"/>
        <v>955.3</v>
      </c>
      <c r="K28" s="345">
        <v>955.3</v>
      </c>
      <c r="L28" s="345"/>
      <c r="M28" s="343">
        <f t="shared" ref="M28" si="22">N28+O28</f>
        <v>6543.3788774956738</v>
      </c>
      <c r="N28" s="345">
        <f>2533400/387.17</f>
        <v>6543.3788774956738</v>
      </c>
      <c r="O28" s="345"/>
      <c r="P28" s="343">
        <f t="shared" ref="P28" si="23">Q28+R28</f>
        <v>299.83008757025226</v>
      </c>
      <c r="Q28" s="345">
        <f>114700/382.55</f>
        <v>299.83008757025226</v>
      </c>
      <c r="R28" s="345"/>
      <c r="S28" s="343">
        <f t="shared" si="4"/>
        <v>26201.491034934072</v>
      </c>
      <c r="T28" s="345">
        <f t="shared" si="15"/>
        <v>26201.491034934072</v>
      </c>
      <c r="U28" s="345"/>
      <c r="V28" s="343">
        <f>W28+X28</f>
        <v>113708.99999999999</v>
      </c>
      <c r="W28" s="345">
        <f>300*379.03</f>
        <v>113708.99999999999</v>
      </c>
      <c r="X28" s="345"/>
      <c r="Y28" s="343">
        <f t="shared" ref="Y28" si="24">Z28+AA28</f>
        <v>9817442.1469710711</v>
      </c>
      <c r="Z28" s="345">
        <f>25901.4910349341*379.03</f>
        <v>9817442.1469710711</v>
      </c>
      <c r="AA28" s="70"/>
      <c r="AB28" s="339">
        <f t="shared" si="7"/>
        <v>0</v>
      </c>
      <c r="AC28" s="70">
        <v>0</v>
      </c>
      <c r="AD28" s="70">
        <v>0</v>
      </c>
      <c r="AE28" s="30">
        <f t="shared" ref="AE28" si="25">AF28+AG28</f>
        <v>0</v>
      </c>
      <c r="AF28" s="70"/>
      <c r="AG28" s="70"/>
      <c r="AH28" s="343">
        <f t="shared" si="17"/>
        <v>113708.99999999999</v>
      </c>
      <c r="AI28" s="345">
        <f>300*379.03</f>
        <v>113708.99999999999</v>
      </c>
      <c r="AJ28" s="345"/>
      <c r="AK28" s="343">
        <f t="shared" si="18"/>
        <v>113708.99999999999</v>
      </c>
      <c r="AL28" s="345">
        <f>300*379.03</f>
        <v>113708.99999999999</v>
      </c>
      <c r="AM28" s="345"/>
      <c r="AN28" s="343">
        <f t="shared" si="19"/>
        <v>113708.99999999999</v>
      </c>
      <c r="AO28" s="345">
        <f>300*379.03</f>
        <v>113708.99999999999</v>
      </c>
      <c r="AP28" s="345"/>
      <c r="AQ28" s="343">
        <f t="shared" si="20"/>
        <v>113708.99999999999</v>
      </c>
      <c r="AR28" s="345">
        <f>300*379.03</f>
        <v>113708.99999999999</v>
      </c>
      <c r="AS28" s="345"/>
      <c r="AT28" s="343">
        <f t="shared" si="21"/>
        <v>113708.99999999999</v>
      </c>
      <c r="AU28" s="345">
        <f>300*379.03</f>
        <v>113708.99999999999</v>
      </c>
      <c r="AV28" s="31"/>
      <c r="AW28" s="36"/>
      <c r="AX28" s="70"/>
      <c r="AY28" s="31"/>
    </row>
    <row r="29" spans="1:51" ht="18">
      <c r="A29" s="17"/>
      <c r="B29" s="944" t="s">
        <v>36</v>
      </c>
      <c r="C29" s="945"/>
      <c r="D29" s="945"/>
      <c r="E29" s="945"/>
      <c r="F29" s="945"/>
      <c r="G29" s="346">
        <f>SUM(G13:G28)</f>
        <v>2372605.9</v>
      </c>
      <c r="H29" s="346">
        <f>SUM(H13:H28)</f>
        <v>2372605.9</v>
      </c>
      <c r="I29" s="346">
        <f>SUM(I9:I26)</f>
        <v>0</v>
      </c>
      <c r="J29" s="346">
        <f>SUM(J13:J28)</f>
        <v>158547.9</v>
      </c>
      <c r="K29" s="346">
        <f>SUM(K13:K28)</f>
        <v>158547.9</v>
      </c>
      <c r="L29" s="346">
        <f>SUM(L9:L26)</f>
        <v>0</v>
      </c>
      <c r="M29" s="346">
        <f>SUM(M13:M28)</f>
        <v>327984.05609938782</v>
      </c>
      <c r="N29" s="346">
        <f>SUM(N13:N28)</f>
        <v>327984.05609938782</v>
      </c>
      <c r="O29" s="346">
        <f>SUM(O9:O26)</f>
        <v>0</v>
      </c>
      <c r="P29" s="346">
        <f>SUM(P13:P28)</f>
        <v>649550.0914913083</v>
      </c>
      <c r="Q29" s="346">
        <f>SUM(Q13:Q28)</f>
        <v>649550.0914913083</v>
      </c>
      <c r="R29" s="346">
        <f>SUM(R9:R28)</f>
        <v>0</v>
      </c>
      <c r="S29" s="346">
        <f>SUM(S13:S28)</f>
        <v>1236523.8524093037</v>
      </c>
      <c r="T29" s="346">
        <f>SUM(T13:T28)</f>
        <v>1236523.8524093037</v>
      </c>
      <c r="U29" s="346">
        <f>SUM(U9:U28)</f>
        <v>0</v>
      </c>
      <c r="V29" s="343">
        <f t="shared" si="16"/>
        <v>124625064</v>
      </c>
      <c r="W29" s="346">
        <f>SUM(W13:W28)</f>
        <v>124625064</v>
      </c>
      <c r="X29" s="346">
        <f>SUM(X9:X28)</f>
        <v>0</v>
      </c>
      <c r="Y29" s="346">
        <f>SUM(Y13:Y28)</f>
        <v>344054571.77869844</v>
      </c>
      <c r="Z29" s="346">
        <f>SUM(Z13:Z28)</f>
        <v>344054571.77869844</v>
      </c>
      <c r="AA29" s="20">
        <f>SUM(AA9:AA28)</f>
        <v>0</v>
      </c>
      <c r="AB29" s="20">
        <f>SUM(AB9:AB26)</f>
        <v>0</v>
      </c>
      <c r="AC29" s="20">
        <f>SUM(AC9:AC28)</f>
        <v>0</v>
      </c>
      <c r="AD29" s="20">
        <f>SUM(AD9:AD28)</f>
        <v>0</v>
      </c>
      <c r="AE29" s="30">
        <f>SUM(AE9:AE26)</f>
        <v>0</v>
      </c>
      <c r="AF29" s="20">
        <f>SUM(AF9:AF28)</f>
        <v>0</v>
      </c>
      <c r="AG29" s="20">
        <f>SUM(AG9:AG28)</f>
        <v>0</v>
      </c>
      <c r="AH29" s="346">
        <f>SUM(AH13:AH28)</f>
        <v>20903447.645499997</v>
      </c>
      <c r="AI29" s="346">
        <f>SUM(AI13:AI28)</f>
        <v>20903447.645499997</v>
      </c>
      <c r="AJ29" s="346">
        <v>0</v>
      </c>
      <c r="AK29" s="346">
        <v>730666.66666666651</v>
      </c>
      <c r="AL29" s="346">
        <v>730666.66666666651</v>
      </c>
      <c r="AM29" s="346">
        <v>0</v>
      </c>
      <c r="AN29" s="346">
        <f>SUM(AN13:AN28)</f>
        <v>93480168.900000006</v>
      </c>
      <c r="AO29" s="346">
        <f>SUM(AO13:AO28)</f>
        <v>93480168.900000006</v>
      </c>
      <c r="AP29" s="346">
        <v>0</v>
      </c>
      <c r="AQ29" s="346">
        <f>SUM(AQ13:AQ28)</f>
        <v>124625064</v>
      </c>
      <c r="AR29" s="346">
        <f>SUM(AR13:AR28)</f>
        <v>124625064</v>
      </c>
      <c r="AS29" s="346">
        <v>0</v>
      </c>
      <c r="AT29" s="346">
        <f>SUM(AT13:AT28)</f>
        <v>124625064</v>
      </c>
      <c r="AU29" s="346">
        <f>SUM(AU13:AU28)</f>
        <v>124625064</v>
      </c>
      <c r="AV29" s="20">
        <f>SUM(AV9:AV28)</f>
        <v>0</v>
      </c>
      <c r="AW29" s="30" t="s">
        <v>39</v>
      </c>
      <c r="AX29" s="20" t="s">
        <v>39</v>
      </c>
      <c r="AY29" s="32" t="s">
        <v>39</v>
      </c>
    </row>
    <row r="30" spans="1:51">
      <c r="B30" s="944" t="s">
        <v>18</v>
      </c>
      <c r="C30" s="945"/>
      <c r="D30" s="945"/>
      <c r="E30" s="945"/>
      <c r="F30" s="945"/>
      <c r="G30" s="20">
        <f t="shared" ref="G30:AV30" si="26">SUMIF($E9:$E26,"Վարկային ծրագիր",G9:G26)</f>
        <v>0</v>
      </c>
      <c r="H30" s="20">
        <f t="shared" si="26"/>
        <v>0</v>
      </c>
      <c r="I30" s="20">
        <f t="shared" si="26"/>
        <v>0</v>
      </c>
      <c r="J30" s="20">
        <f t="shared" si="26"/>
        <v>0</v>
      </c>
      <c r="K30" s="20">
        <f t="shared" si="26"/>
        <v>0</v>
      </c>
      <c r="L30" s="20">
        <f t="shared" si="26"/>
        <v>0</v>
      </c>
      <c r="M30" s="20">
        <f t="shared" si="26"/>
        <v>0</v>
      </c>
      <c r="N30" s="20">
        <f t="shared" si="26"/>
        <v>0</v>
      </c>
      <c r="O30" s="20">
        <f t="shared" si="26"/>
        <v>0</v>
      </c>
      <c r="P30" s="20">
        <f t="shared" si="26"/>
        <v>0</v>
      </c>
      <c r="Q30" s="20">
        <f t="shared" si="26"/>
        <v>0</v>
      </c>
      <c r="R30" s="20">
        <f t="shared" si="26"/>
        <v>0</v>
      </c>
      <c r="S30" s="20">
        <f t="shared" si="26"/>
        <v>0</v>
      </c>
      <c r="T30" s="20">
        <f t="shared" si="26"/>
        <v>0</v>
      </c>
      <c r="U30" s="20">
        <f t="shared" si="26"/>
        <v>0</v>
      </c>
      <c r="V30" s="20">
        <f t="shared" si="26"/>
        <v>0</v>
      </c>
      <c r="W30" s="20">
        <f t="shared" si="26"/>
        <v>0</v>
      </c>
      <c r="X30" s="20">
        <f t="shared" si="26"/>
        <v>0</v>
      </c>
      <c r="Y30" s="20">
        <f t="shared" si="26"/>
        <v>0</v>
      </c>
      <c r="Z30" s="20">
        <f t="shared" si="26"/>
        <v>0</v>
      </c>
      <c r="AA30" s="20">
        <f t="shared" si="26"/>
        <v>0</v>
      </c>
      <c r="AB30" s="20">
        <f t="shared" si="26"/>
        <v>0</v>
      </c>
      <c r="AC30" s="20">
        <f t="shared" si="26"/>
        <v>0</v>
      </c>
      <c r="AD30" s="32">
        <f t="shared" si="26"/>
        <v>0</v>
      </c>
      <c r="AE30" s="30">
        <f t="shared" si="26"/>
        <v>0</v>
      </c>
      <c r="AF30" s="20">
        <f t="shared" si="26"/>
        <v>0</v>
      </c>
      <c r="AG30" s="20">
        <f t="shared" si="26"/>
        <v>0</v>
      </c>
      <c r="AH30" s="20">
        <f t="shared" si="26"/>
        <v>0</v>
      </c>
      <c r="AI30" s="20">
        <f t="shared" si="26"/>
        <v>0</v>
      </c>
      <c r="AJ30" s="20">
        <f t="shared" si="26"/>
        <v>0</v>
      </c>
      <c r="AK30" s="20">
        <f t="shared" si="26"/>
        <v>0</v>
      </c>
      <c r="AL30" s="20">
        <f t="shared" si="26"/>
        <v>0</v>
      </c>
      <c r="AM30" s="20">
        <f t="shared" si="26"/>
        <v>0</v>
      </c>
      <c r="AN30" s="20">
        <f t="shared" si="26"/>
        <v>0</v>
      </c>
      <c r="AO30" s="20">
        <f t="shared" si="26"/>
        <v>0</v>
      </c>
      <c r="AP30" s="20">
        <f t="shared" si="26"/>
        <v>0</v>
      </c>
      <c r="AQ30" s="20">
        <f t="shared" si="26"/>
        <v>0</v>
      </c>
      <c r="AR30" s="20">
        <f t="shared" si="26"/>
        <v>0</v>
      </c>
      <c r="AS30" s="20">
        <f t="shared" si="26"/>
        <v>0</v>
      </c>
      <c r="AT30" s="20">
        <f t="shared" si="26"/>
        <v>0</v>
      </c>
      <c r="AU30" s="20">
        <f t="shared" si="26"/>
        <v>0</v>
      </c>
      <c r="AV30" s="32">
        <f t="shared" si="26"/>
        <v>0</v>
      </c>
      <c r="AW30" s="30" t="s">
        <v>39</v>
      </c>
      <c r="AX30" s="20" t="s">
        <v>39</v>
      </c>
      <c r="AY30" s="32" t="s">
        <v>39</v>
      </c>
    </row>
    <row r="31" spans="1:51">
      <c r="B31" s="944" t="s">
        <v>19</v>
      </c>
      <c r="C31" s="945"/>
      <c r="D31" s="945"/>
      <c r="E31" s="945"/>
      <c r="F31" s="945"/>
      <c r="G31" s="346">
        <f>+G29</f>
        <v>2372605.9</v>
      </c>
      <c r="H31" s="346">
        <f t="shared" ref="H31:AT31" si="27">+H29</f>
        <v>2372605.9</v>
      </c>
      <c r="I31" s="346">
        <f t="shared" si="27"/>
        <v>0</v>
      </c>
      <c r="J31" s="346">
        <f t="shared" si="27"/>
        <v>158547.9</v>
      </c>
      <c r="K31" s="346">
        <f t="shared" si="27"/>
        <v>158547.9</v>
      </c>
      <c r="L31" s="346">
        <f t="shared" si="27"/>
        <v>0</v>
      </c>
      <c r="M31" s="346">
        <f t="shared" si="27"/>
        <v>327984.05609938782</v>
      </c>
      <c r="N31" s="346">
        <f t="shared" si="27"/>
        <v>327984.05609938782</v>
      </c>
      <c r="O31" s="346">
        <f t="shared" si="27"/>
        <v>0</v>
      </c>
      <c r="P31" s="346">
        <f t="shared" si="27"/>
        <v>649550.0914913083</v>
      </c>
      <c r="Q31" s="346">
        <f t="shared" si="27"/>
        <v>649550.0914913083</v>
      </c>
      <c r="R31" s="346">
        <f t="shared" si="27"/>
        <v>0</v>
      </c>
      <c r="S31" s="346">
        <f t="shared" si="27"/>
        <v>1236523.8524093037</v>
      </c>
      <c r="T31" s="346">
        <f t="shared" si="27"/>
        <v>1236523.8524093037</v>
      </c>
      <c r="U31" s="346">
        <f t="shared" si="27"/>
        <v>0</v>
      </c>
      <c r="V31" s="346">
        <f t="shared" si="27"/>
        <v>124625064</v>
      </c>
      <c r="W31" s="346">
        <f t="shared" si="27"/>
        <v>124625064</v>
      </c>
      <c r="X31" s="346">
        <f t="shared" si="27"/>
        <v>0</v>
      </c>
      <c r="Y31" s="346">
        <f t="shared" si="27"/>
        <v>344054571.77869844</v>
      </c>
      <c r="Z31" s="346">
        <f t="shared" si="27"/>
        <v>344054571.77869844</v>
      </c>
      <c r="AA31" s="346">
        <f t="shared" si="27"/>
        <v>0</v>
      </c>
      <c r="AB31" s="346">
        <f t="shared" si="27"/>
        <v>0</v>
      </c>
      <c r="AC31" s="346">
        <f t="shared" si="27"/>
        <v>0</v>
      </c>
      <c r="AD31" s="346">
        <f t="shared" si="27"/>
        <v>0</v>
      </c>
      <c r="AE31" s="346">
        <f t="shared" si="27"/>
        <v>0</v>
      </c>
      <c r="AF31" s="346">
        <f t="shared" si="27"/>
        <v>0</v>
      </c>
      <c r="AG31" s="346">
        <f t="shared" si="27"/>
        <v>0</v>
      </c>
      <c r="AH31" s="346">
        <f t="shared" si="27"/>
        <v>20903447.645499997</v>
      </c>
      <c r="AI31" s="346">
        <f t="shared" si="27"/>
        <v>20903447.645499997</v>
      </c>
      <c r="AJ31" s="346">
        <f t="shared" si="27"/>
        <v>0</v>
      </c>
      <c r="AK31" s="346">
        <f t="shared" si="27"/>
        <v>730666.66666666651</v>
      </c>
      <c r="AL31" s="346">
        <f t="shared" si="27"/>
        <v>730666.66666666651</v>
      </c>
      <c r="AM31" s="346">
        <f t="shared" si="27"/>
        <v>0</v>
      </c>
      <c r="AN31" s="346">
        <f t="shared" si="27"/>
        <v>93480168.900000006</v>
      </c>
      <c r="AO31" s="346">
        <f t="shared" si="27"/>
        <v>93480168.900000006</v>
      </c>
      <c r="AP31" s="346">
        <f t="shared" si="27"/>
        <v>0</v>
      </c>
      <c r="AQ31" s="346">
        <f t="shared" si="27"/>
        <v>124625064</v>
      </c>
      <c r="AR31" s="346">
        <f t="shared" si="27"/>
        <v>124625064</v>
      </c>
      <c r="AS31" s="346">
        <f t="shared" si="27"/>
        <v>0</v>
      </c>
      <c r="AT31" s="346">
        <f t="shared" si="27"/>
        <v>124625064</v>
      </c>
      <c r="AU31" s="346">
        <f>+AU29</f>
        <v>124625064</v>
      </c>
      <c r="AV31" s="32">
        <f t="shared" ref="AV31" si="28">SUMIF($E9:$E26,"Դրամաշնորհային ծրագիր",AV9:AV26)</f>
        <v>0</v>
      </c>
      <c r="AW31" s="30" t="s">
        <v>39</v>
      </c>
      <c r="AX31" s="20" t="s">
        <v>39</v>
      </c>
      <c r="AY31" s="32" t="s">
        <v>39</v>
      </c>
    </row>
    <row r="32" spans="1:51" ht="17.25" customHeight="1"/>
    <row r="34" spans="2:4">
      <c r="B34" s="73" t="s">
        <v>191</v>
      </c>
      <c r="C34" s="58"/>
      <c r="D34" s="59"/>
    </row>
  </sheetData>
  <mergeCells count="30">
    <mergeCell ref="J6:L7"/>
    <mergeCell ref="B6:C7"/>
    <mergeCell ref="D6:D8"/>
    <mergeCell ref="E6:E8"/>
    <mergeCell ref="F6:F8"/>
    <mergeCell ref="G6:I7"/>
    <mergeCell ref="M6:O7"/>
    <mergeCell ref="P6:R7"/>
    <mergeCell ref="S6:U7"/>
    <mergeCell ref="V6:AD6"/>
    <mergeCell ref="AE6:AG7"/>
    <mergeCell ref="AW6:AW8"/>
    <mergeCell ref="AX6:AX8"/>
    <mergeCell ref="AY6:AY8"/>
    <mergeCell ref="V7:X7"/>
    <mergeCell ref="Y7:AA7"/>
    <mergeCell ref="AB7:AD7"/>
    <mergeCell ref="AH7:AJ7"/>
    <mergeCell ref="AK7:AM7"/>
    <mergeCell ref="AN7:AP7"/>
    <mergeCell ref="AQ7:AS7"/>
    <mergeCell ref="AH6:AV6"/>
    <mergeCell ref="AT7:AV7"/>
    <mergeCell ref="B29:F29"/>
    <mergeCell ref="B30:F30"/>
    <mergeCell ref="B31:F31"/>
    <mergeCell ref="B9:B28"/>
    <mergeCell ref="C9:C28"/>
    <mergeCell ref="D9:D28"/>
    <mergeCell ref="E9:E28"/>
  </mergeCells>
  <dataValidations count="1">
    <dataValidation type="list" allowBlank="1" showInputMessage="1" showErrorMessage="1" sqref="E9">
      <formula1>$BE$1:$BE$3</formula1>
    </dataValidation>
  </dataValidations>
  <pageMargins left="0.7" right="0.7" top="0.75" bottom="0.75" header="0.3" footer="0.3"/>
  <pageSetup paperSize="9" orientation="portrait"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Y19"/>
  <sheetViews>
    <sheetView topLeftCell="J7" zoomScale="120" zoomScaleNormal="120" workbookViewId="0">
      <selection activeCell="A13" sqref="A13:XFD13"/>
    </sheetView>
  </sheetViews>
  <sheetFormatPr defaultRowHeight="14.4"/>
  <cols>
    <col min="1" max="1" width="3.88671875" customWidth="1"/>
    <col min="2" max="2" width="10.6640625" customWidth="1"/>
    <col min="3" max="3" width="12.6640625" customWidth="1"/>
    <col min="4" max="4" width="17.88671875" customWidth="1"/>
    <col min="5" max="5" width="8.6640625" customWidth="1"/>
    <col min="6" max="6" width="40.6640625" bestFit="1" customWidth="1"/>
    <col min="7" max="7" width="11.109375" customWidth="1"/>
    <col min="8" max="8" width="8.88671875" customWidth="1"/>
    <col min="9" max="9" width="10.33203125" customWidth="1"/>
    <col min="10" max="24" width="9.109375" customWidth="1"/>
    <col min="25" max="25" width="10.109375" bestFit="1" customWidth="1"/>
    <col min="26" max="27" width="10.6640625" customWidth="1"/>
    <col min="28" max="28" width="9.44140625" customWidth="1"/>
    <col min="29" max="29" width="8.88671875" customWidth="1"/>
    <col min="30" max="30" width="10.6640625" customWidth="1"/>
    <col min="31" max="33" width="10" customWidth="1"/>
    <col min="38" max="38" width="9.6640625" bestFit="1" customWidth="1"/>
  </cols>
  <sheetData>
    <row r="1" spans="1:51" s="51" customFormat="1" ht="22.5" customHeight="1">
      <c r="A1" s="61" t="s">
        <v>67</v>
      </c>
      <c r="B1" s="64"/>
      <c r="C1" s="64"/>
      <c r="D1" s="64"/>
      <c r="E1" s="64"/>
      <c r="F1" s="64"/>
      <c r="G1" s="64"/>
      <c r="H1" s="64"/>
      <c r="I1" s="64"/>
      <c r="J1" s="64"/>
      <c r="K1" s="64"/>
      <c r="L1" s="64"/>
      <c r="M1" s="64"/>
      <c r="N1" s="64"/>
      <c r="O1" s="64"/>
      <c r="P1" s="54"/>
      <c r="Q1" s="54"/>
      <c r="R1" s="54"/>
      <c r="S1" s="54"/>
      <c r="T1" s="54"/>
      <c r="U1" s="54"/>
      <c r="V1" s="54"/>
      <c r="W1" s="54"/>
      <c r="X1" s="54"/>
      <c r="Y1" s="54"/>
      <c r="Z1" s="54"/>
      <c r="AA1" s="54"/>
      <c r="AB1" s="54"/>
      <c r="AC1" s="54"/>
      <c r="AD1" s="54"/>
      <c r="AE1" s="54"/>
      <c r="AF1" s="54"/>
      <c r="AG1" s="54"/>
    </row>
    <row r="2" spans="1:51" ht="18">
      <c r="A2" s="61"/>
      <c r="B2" s="64"/>
      <c r="C2" s="64"/>
      <c r="D2" s="64"/>
      <c r="E2" s="64"/>
      <c r="F2" s="64"/>
      <c r="G2" s="64"/>
      <c r="H2" s="64"/>
      <c r="I2" s="64"/>
      <c r="J2" s="64"/>
      <c r="K2" s="64"/>
      <c r="L2" s="64"/>
      <c r="M2" s="64"/>
      <c r="N2" s="64"/>
      <c r="O2" s="64"/>
      <c r="P2" s="16"/>
      <c r="Q2" s="16"/>
      <c r="R2" s="16"/>
      <c r="S2" s="16"/>
      <c r="T2" s="16"/>
      <c r="U2" s="16"/>
      <c r="V2" s="16"/>
      <c r="W2" s="16"/>
      <c r="X2" s="16"/>
      <c r="Y2" s="16"/>
      <c r="Z2" s="16"/>
      <c r="AA2" s="16"/>
      <c r="AB2" s="16"/>
      <c r="AC2" s="16"/>
      <c r="AD2" s="16"/>
      <c r="AE2" s="16"/>
      <c r="AF2" s="16"/>
      <c r="AG2" s="16"/>
    </row>
    <row r="3" spans="1:51" s="51" customFormat="1" ht="30.75" customHeight="1">
      <c r="A3" s="61" t="s">
        <v>303</v>
      </c>
      <c r="B3" s="64"/>
      <c r="C3" s="64"/>
      <c r="D3" s="64"/>
      <c r="E3" s="64"/>
      <c r="F3" s="64"/>
      <c r="G3" s="64"/>
      <c r="H3" s="64"/>
      <c r="I3" s="64"/>
      <c r="J3" s="64"/>
      <c r="K3" s="64"/>
      <c r="L3" s="64"/>
      <c r="M3" s="64"/>
      <c r="N3" s="64"/>
      <c r="O3" s="64"/>
      <c r="P3" s="54"/>
      <c r="Q3" s="54"/>
      <c r="R3" s="54"/>
      <c r="S3" s="54"/>
      <c r="T3" s="54"/>
      <c r="U3" s="54"/>
      <c r="V3" s="54"/>
      <c r="W3" s="54"/>
      <c r="X3" s="54"/>
      <c r="Y3" s="54"/>
      <c r="Z3" s="54"/>
      <c r="AA3" s="54"/>
      <c r="AB3" s="54"/>
      <c r="AC3" s="54"/>
      <c r="AD3" s="54"/>
      <c r="AE3" s="54"/>
      <c r="AF3" s="54"/>
      <c r="AG3" s="54"/>
    </row>
    <row r="4" spans="1:51">
      <c r="A4" s="63"/>
      <c r="B4" s="65"/>
      <c r="C4" s="65"/>
      <c r="D4" s="65"/>
      <c r="E4" s="63"/>
      <c r="F4" s="63"/>
      <c r="G4" s="63"/>
      <c r="H4" s="63"/>
      <c r="I4" s="63"/>
      <c r="J4" s="63"/>
      <c r="K4" s="63"/>
      <c r="L4" s="63"/>
      <c r="M4" s="63"/>
      <c r="N4" s="63"/>
      <c r="O4" s="63"/>
      <c r="AE4" s="51"/>
      <c r="AF4" s="51"/>
      <c r="AG4" s="51"/>
    </row>
    <row r="5" spans="1:51" ht="15" thickBot="1">
      <c r="A5" s="63"/>
      <c r="B5" s="63"/>
      <c r="C5" s="63"/>
      <c r="D5" s="65"/>
      <c r="E5" s="63"/>
      <c r="F5" s="63"/>
      <c r="G5" s="63"/>
      <c r="H5" s="63"/>
      <c r="I5" s="63"/>
      <c r="J5" s="63"/>
      <c r="K5" s="63"/>
      <c r="L5" s="63"/>
      <c r="M5" s="63"/>
      <c r="N5" s="63"/>
      <c r="O5" s="63"/>
      <c r="AE5" s="51"/>
      <c r="AF5" s="51"/>
      <c r="AG5" s="51"/>
      <c r="AW5" s="65" t="s">
        <v>56</v>
      </c>
      <c r="AX5" s="58"/>
    </row>
    <row r="6" spans="1:51" ht="40.5" customHeight="1">
      <c r="A6" s="63"/>
      <c r="B6" s="953" t="s">
        <v>5</v>
      </c>
      <c r="C6" s="952"/>
      <c r="D6" s="952" t="s">
        <v>45</v>
      </c>
      <c r="E6" s="952" t="s">
        <v>38</v>
      </c>
      <c r="F6" s="952" t="s">
        <v>304</v>
      </c>
      <c r="G6" s="952" t="s">
        <v>59</v>
      </c>
      <c r="H6" s="952"/>
      <c r="I6" s="952"/>
      <c r="J6" s="952" t="s">
        <v>104</v>
      </c>
      <c r="K6" s="952"/>
      <c r="L6" s="952"/>
      <c r="M6" s="952" t="s">
        <v>105</v>
      </c>
      <c r="N6" s="952"/>
      <c r="O6" s="952"/>
      <c r="P6" s="950" t="s">
        <v>106</v>
      </c>
      <c r="Q6" s="950"/>
      <c r="R6" s="950"/>
      <c r="S6" s="950" t="s">
        <v>17</v>
      </c>
      <c r="T6" s="950"/>
      <c r="U6" s="950"/>
      <c r="V6" s="950" t="s">
        <v>13</v>
      </c>
      <c r="W6" s="950"/>
      <c r="X6" s="950"/>
      <c r="Y6" s="950"/>
      <c r="Z6" s="950"/>
      <c r="AA6" s="950"/>
      <c r="AB6" s="950"/>
      <c r="AC6" s="950"/>
      <c r="AD6" s="951"/>
      <c r="AE6" s="971" t="s">
        <v>107</v>
      </c>
      <c r="AF6" s="946"/>
      <c r="AG6" s="946"/>
      <c r="AH6" s="946" t="s">
        <v>108</v>
      </c>
      <c r="AI6" s="946"/>
      <c r="AJ6" s="946"/>
      <c r="AK6" s="946"/>
      <c r="AL6" s="946"/>
      <c r="AM6" s="946"/>
      <c r="AN6" s="946"/>
      <c r="AO6" s="946"/>
      <c r="AP6" s="946"/>
      <c r="AQ6" s="946"/>
      <c r="AR6" s="946"/>
      <c r="AS6" s="946"/>
      <c r="AT6" s="946"/>
      <c r="AU6" s="946"/>
      <c r="AV6" s="947"/>
      <c r="AW6" s="948" t="s">
        <v>23</v>
      </c>
      <c r="AX6" s="956" t="s">
        <v>24</v>
      </c>
      <c r="AY6" s="958" t="s">
        <v>109</v>
      </c>
    </row>
    <row r="7" spans="1:51" ht="25.5" customHeight="1">
      <c r="A7" s="63"/>
      <c r="B7" s="954"/>
      <c r="C7" s="921"/>
      <c r="D7" s="921"/>
      <c r="E7" s="921"/>
      <c r="F7" s="921"/>
      <c r="G7" s="921"/>
      <c r="H7" s="921"/>
      <c r="I7" s="921"/>
      <c r="J7" s="921"/>
      <c r="K7" s="921"/>
      <c r="L7" s="921"/>
      <c r="M7" s="921"/>
      <c r="N7" s="921"/>
      <c r="O7" s="921"/>
      <c r="P7" s="775"/>
      <c r="Q7" s="775"/>
      <c r="R7" s="775"/>
      <c r="S7" s="775"/>
      <c r="T7" s="775"/>
      <c r="U7" s="775"/>
      <c r="V7" s="775" t="s">
        <v>54</v>
      </c>
      <c r="W7" s="775"/>
      <c r="X7" s="775"/>
      <c r="Y7" s="775" t="s">
        <v>72</v>
      </c>
      <c r="Z7" s="775"/>
      <c r="AA7" s="775"/>
      <c r="AB7" s="775" t="s">
        <v>97</v>
      </c>
      <c r="AC7" s="775"/>
      <c r="AD7" s="955"/>
      <c r="AE7" s="972"/>
      <c r="AF7" s="960"/>
      <c r="AG7" s="960"/>
      <c r="AH7" s="960" t="s">
        <v>25</v>
      </c>
      <c r="AI7" s="960"/>
      <c r="AJ7" s="960"/>
      <c r="AK7" s="960" t="s">
        <v>26</v>
      </c>
      <c r="AL7" s="960"/>
      <c r="AM7" s="960"/>
      <c r="AN7" s="960" t="s">
        <v>27</v>
      </c>
      <c r="AO7" s="960"/>
      <c r="AP7" s="960"/>
      <c r="AQ7" s="960" t="s">
        <v>28</v>
      </c>
      <c r="AR7" s="960"/>
      <c r="AS7" s="960"/>
      <c r="AT7" s="960" t="s">
        <v>29</v>
      </c>
      <c r="AU7" s="960"/>
      <c r="AV7" s="961"/>
      <c r="AW7" s="949"/>
      <c r="AX7" s="957"/>
      <c r="AY7" s="959"/>
    </row>
    <row r="8" spans="1:51" ht="126" customHeight="1">
      <c r="A8" s="63"/>
      <c r="B8" s="66" t="s">
        <v>1</v>
      </c>
      <c r="C8" s="67" t="s">
        <v>20</v>
      </c>
      <c r="D8" s="921"/>
      <c r="E8" s="921"/>
      <c r="F8" s="921"/>
      <c r="G8" s="68" t="s">
        <v>9</v>
      </c>
      <c r="H8" s="68" t="s">
        <v>15</v>
      </c>
      <c r="I8" s="68" t="s">
        <v>16</v>
      </c>
      <c r="J8" s="68" t="s">
        <v>9</v>
      </c>
      <c r="K8" s="68" t="s">
        <v>15</v>
      </c>
      <c r="L8" s="68" t="s">
        <v>16</v>
      </c>
      <c r="M8" s="68" t="s">
        <v>9</v>
      </c>
      <c r="N8" s="68" t="s">
        <v>15</v>
      </c>
      <c r="O8" s="68" t="s">
        <v>16</v>
      </c>
      <c r="P8" s="18" t="s">
        <v>9</v>
      </c>
      <c r="Q8" s="18" t="s">
        <v>15</v>
      </c>
      <c r="R8" s="18" t="s">
        <v>16</v>
      </c>
      <c r="S8" s="18" t="s">
        <v>9</v>
      </c>
      <c r="T8" s="18" t="s">
        <v>15</v>
      </c>
      <c r="U8" s="18" t="s">
        <v>16</v>
      </c>
      <c r="V8" s="18" t="s">
        <v>9</v>
      </c>
      <c r="W8" s="18" t="s">
        <v>15</v>
      </c>
      <c r="X8" s="18" t="s">
        <v>16</v>
      </c>
      <c r="Y8" s="18" t="s">
        <v>9</v>
      </c>
      <c r="Z8" s="18" t="s">
        <v>15</v>
      </c>
      <c r="AA8" s="18" t="s">
        <v>16</v>
      </c>
      <c r="AB8" s="18" t="s">
        <v>9</v>
      </c>
      <c r="AC8" s="18" t="s">
        <v>15</v>
      </c>
      <c r="AD8" s="340" t="s">
        <v>16</v>
      </c>
      <c r="AE8" s="28" t="s">
        <v>9</v>
      </c>
      <c r="AF8" s="27" t="s">
        <v>15</v>
      </c>
      <c r="AG8" s="27" t="s">
        <v>16</v>
      </c>
      <c r="AH8" s="27" t="s">
        <v>9</v>
      </c>
      <c r="AI8" s="27" t="s">
        <v>15</v>
      </c>
      <c r="AJ8" s="27" t="s">
        <v>16</v>
      </c>
      <c r="AK8" s="27" t="s">
        <v>9</v>
      </c>
      <c r="AL8" s="27" t="s">
        <v>15</v>
      </c>
      <c r="AM8" s="27" t="s">
        <v>16</v>
      </c>
      <c r="AN8" s="27" t="s">
        <v>9</v>
      </c>
      <c r="AO8" s="27" t="s">
        <v>15</v>
      </c>
      <c r="AP8" s="27" t="s">
        <v>16</v>
      </c>
      <c r="AQ8" s="27" t="s">
        <v>9</v>
      </c>
      <c r="AR8" s="27" t="s">
        <v>15</v>
      </c>
      <c r="AS8" s="27" t="s">
        <v>16</v>
      </c>
      <c r="AT8" s="27" t="s">
        <v>9</v>
      </c>
      <c r="AU8" s="27" t="s">
        <v>15</v>
      </c>
      <c r="AV8" s="29" t="s">
        <v>16</v>
      </c>
      <c r="AW8" s="949"/>
      <c r="AX8" s="957"/>
      <c r="AY8" s="959"/>
    </row>
    <row r="9" spans="1:51" ht="47.25" customHeight="1">
      <c r="B9" s="962">
        <v>1016</v>
      </c>
      <c r="C9" s="965">
        <v>12001</v>
      </c>
      <c r="D9" s="965" t="s">
        <v>572</v>
      </c>
      <c r="E9" s="968"/>
      <c r="F9" s="347" t="s">
        <v>572</v>
      </c>
      <c r="G9" s="339">
        <f>H9+I9</f>
        <v>332000</v>
      </c>
      <c r="H9" s="345">
        <f>+H12</f>
        <v>332000</v>
      </c>
      <c r="I9" s="70"/>
      <c r="J9" s="339">
        <f>K9+L9</f>
        <v>0</v>
      </c>
      <c r="K9" s="345">
        <f>+K12</f>
        <v>0</v>
      </c>
      <c r="L9" s="345">
        <v>0</v>
      </c>
      <c r="M9" s="339">
        <f>N9+O9</f>
        <v>0</v>
      </c>
      <c r="N9" s="345">
        <f>+N12</f>
        <v>0</v>
      </c>
      <c r="O9" s="70"/>
      <c r="P9" s="339">
        <f>Q9+R9</f>
        <v>91491.308325709062</v>
      </c>
      <c r="Q9" s="345">
        <f>+Q12</f>
        <v>91491.308325709062</v>
      </c>
      <c r="R9" s="70"/>
      <c r="S9" s="339">
        <f>T9+U9</f>
        <v>240508.69167429092</v>
      </c>
      <c r="T9" s="345">
        <f>+T12</f>
        <v>240508.69167429092</v>
      </c>
      <c r="U9" s="70"/>
      <c r="V9" s="339">
        <f>W9+X9</f>
        <v>40445912.319539979</v>
      </c>
      <c r="W9" s="345">
        <f>+W12</f>
        <v>40445912.319539979</v>
      </c>
      <c r="X9" s="70"/>
      <c r="Y9" s="339">
        <f>Z9+AA9</f>
        <v>50714025.748268321</v>
      </c>
      <c r="Z9" s="345">
        <f>+Z12</f>
        <v>50714025.748268321</v>
      </c>
      <c r="AA9" s="70"/>
      <c r="AB9" s="339">
        <f>AC9+AD9</f>
        <v>0</v>
      </c>
      <c r="AC9" s="345">
        <f>+AC12</f>
        <v>0</v>
      </c>
      <c r="AD9" s="31"/>
      <c r="AE9" s="30">
        <f>AF9+AG9</f>
        <v>0</v>
      </c>
      <c r="AF9" s="70"/>
      <c r="AG9" s="70"/>
      <c r="AH9" s="339">
        <f>AI9+AJ9</f>
        <v>20202299</v>
      </c>
      <c r="AI9" s="345">
        <f>+AI12</f>
        <v>20202299</v>
      </c>
      <c r="AJ9" s="70"/>
      <c r="AK9" s="339">
        <f>AL9+AM9</f>
        <v>22741800</v>
      </c>
      <c r="AL9" s="345">
        <f>+AL12</f>
        <v>22741800</v>
      </c>
      <c r="AM9" s="70"/>
      <c r="AN9" s="339">
        <f>AO9+AP9</f>
        <v>40445912.269999996</v>
      </c>
      <c r="AO9" s="345">
        <f>+AO12</f>
        <v>40445912.269999996</v>
      </c>
      <c r="AP9" s="70"/>
      <c r="AQ9" s="339">
        <f>AR9+AS9</f>
        <v>40445912.269999996</v>
      </c>
      <c r="AR9" s="345">
        <f>+AR12</f>
        <v>40445912.269999996</v>
      </c>
      <c r="AS9" s="70"/>
      <c r="AT9" s="339">
        <f>AU9+AV9</f>
        <v>40445912.269999996</v>
      </c>
      <c r="AU9" s="345">
        <f>+AU12</f>
        <v>40445912.269999996</v>
      </c>
      <c r="AV9" s="31"/>
      <c r="AW9" s="36" t="s">
        <v>573</v>
      </c>
      <c r="AX9" s="70" t="s">
        <v>574</v>
      </c>
      <c r="AY9" s="31"/>
    </row>
    <row r="10" spans="1:51" ht="25.5" customHeight="1">
      <c r="B10" s="963"/>
      <c r="C10" s="966"/>
      <c r="D10" s="966"/>
      <c r="E10" s="969"/>
      <c r="F10" s="13" t="s">
        <v>575</v>
      </c>
      <c r="G10" s="339">
        <f t="shared" ref="G10:G13" si="0">H10+I10</f>
        <v>0</v>
      </c>
      <c r="H10" s="70">
        <v>0</v>
      </c>
      <c r="I10" s="70"/>
      <c r="J10" s="339">
        <f t="shared" ref="J10:J11" si="1">K10+L10</f>
        <v>0</v>
      </c>
      <c r="K10" s="70">
        <v>0</v>
      </c>
      <c r="L10" s="345">
        <v>0</v>
      </c>
      <c r="M10" s="339">
        <f t="shared" ref="M10:M13" si="2">N10+O10</f>
        <v>0</v>
      </c>
      <c r="N10" s="70">
        <v>0</v>
      </c>
      <c r="O10" s="70"/>
      <c r="P10" s="339">
        <f t="shared" ref="P10:P11" si="3">Q10+R10</f>
        <v>0</v>
      </c>
      <c r="Q10" s="70">
        <v>0</v>
      </c>
      <c r="R10" s="70"/>
      <c r="S10" s="339">
        <f t="shared" ref="S10:S11" si="4">T10+U10</f>
        <v>0</v>
      </c>
      <c r="T10" s="70">
        <v>0</v>
      </c>
      <c r="U10" s="70"/>
      <c r="V10" s="339">
        <f t="shared" ref="V10:V11" si="5">W10+X10</f>
        <v>0</v>
      </c>
      <c r="W10" s="70">
        <v>0</v>
      </c>
      <c r="X10" s="70"/>
      <c r="Y10" s="339">
        <f t="shared" ref="Y10:Y11" si="6">Z10+AA10</f>
        <v>0</v>
      </c>
      <c r="Z10" s="70">
        <v>0</v>
      </c>
      <c r="AA10" s="70"/>
      <c r="AB10" s="339">
        <f t="shared" ref="AB10:AB12" si="7">AC10+AD10</f>
        <v>0</v>
      </c>
      <c r="AC10" s="70">
        <v>0</v>
      </c>
      <c r="AD10" s="31"/>
      <c r="AE10" s="30">
        <f t="shared" ref="AE10:AE13" si="8">AF10+AG10</f>
        <v>0</v>
      </c>
      <c r="AF10" s="70"/>
      <c r="AG10" s="70"/>
      <c r="AH10" s="339">
        <f t="shared" ref="AH10:AH11" si="9">AI10+AJ10</f>
        <v>0</v>
      </c>
      <c r="AI10" s="70">
        <v>0</v>
      </c>
      <c r="AJ10" s="70"/>
      <c r="AK10" s="339">
        <f t="shared" ref="AK10:AK12" si="10">AL10+AM10</f>
        <v>0</v>
      </c>
      <c r="AL10" s="70">
        <v>0</v>
      </c>
      <c r="AM10" s="70"/>
      <c r="AN10" s="339">
        <f t="shared" ref="AN10:AN12" si="11">AO10+AP10</f>
        <v>0</v>
      </c>
      <c r="AO10" s="70">
        <v>0</v>
      </c>
      <c r="AP10" s="70"/>
      <c r="AQ10" s="339">
        <f t="shared" ref="AQ10:AQ12" si="12">AR10+AS10</f>
        <v>0</v>
      </c>
      <c r="AR10" s="70">
        <v>0</v>
      </c>
      <c r="AS10" s="70"/>
      <c r="AT10" s="339">
        <f t="shared" ref="AT10:AT12" si="13">AU10+AV10</f>
        <v>0</v>
      </c>
      <c r="AU10" s="70">
        <v>0</v>
      </c>
      <c r="AV10" s="31"/>
      <c r="AW10" s="36"/>
      <c r="AX10" s="70"/>
      <c r="AY10" s="31"/>
    </row>
    <row r="11" spans="1:51">
      <c r="B11" s="963"/>
      <c r="C11" s="966"/>
      <c r="D11" s="966"/>
      <c r="E11" s="969"/>
      <c r="F11" s="347" t="s">
        <v>576</v>
      </c>
      <c r="G11" s="339">
        <f t="shared" si="0"/>
        <v>0</v>
      </c>
      <c r="H11" s="70">
        <v>0</v>
      </c>
      <c r="I11" s="70"/>
      <c r="J11" s="339">
        <f t="shared" si="1"/>
        <v>0</v>
      </c>
      <c r="K11" s="70">
        <v>0</v>
      </c>
      <c r="L11" s="345">
        <v>0</v>
      </c>
      <c r="M11" s="339">
        <f t="shared" si="2"/>
        <v>0</v>
      </c>
      <c r="N11" s="70">
        <v>0</v>
      </c>
      <c r="O11" s="70"/>
      <c r="P11" s="339">
        <f t="shared" si="3"/>
        <v>0</v>
      </c>
      <c r="Q11" s="70">
        <v>0</v>
      </c>
      <c r="R11" s="70"/>
      <c r="S11" s="339">
        <f t="shared" si="4"/>
        <v>0</v>
      </c>
      <c r="T11" s="70">
        <v>0</v>
      </c>
      <c r="U11" s="70"/>
      <c r="V11" s="339">
        <f t="shared" si="5"/>
        <v>0</v>
      </c>
      <c r="W11" s="70">
        <v>0</v>
      </c>
      <c r="X11" s="70"/>
      <c r="Y11" s="339">
        <f t="shared" si="6"/>
        <v>0</v>
      </c>
      <c r="Z11" s="70">
        <v>0</v>
      </c>
      <c r="AA11" s="70"/>
      <c r="AB11" s="339">
        <f t="shared" si="7"/>
        <v>0</v>
      </c>
      <c r="AC11" s="70">
        <v>0</v>
      </c>
      <c r="AD11" s="31"/>
      <c r="AE11" s="30">
        <f t="shared" si="8"/>
        <v>0</v>
      </c>
      <c r="AF11" s="70"/>
      <c r="AG11" s="70"/>
      <c r="AH11" s="339">
        <f t="shared" si="9"/>
        <v>0</v>
      </c>
      <c r="AI11" s="70">
        <v>0</v>
      </c>
      <c r="AJ11" s="70"/>
      <c r="AK11" s="339">
        <f t="shared" si="10"/>
        <v>0</v>
      </c>
      <c r="AL11" s="70">
        <v>0</v>
      </c>
      <c r="AM11" s="70"/>
      <c r="AN11" s="339">
        <f t="shared" si="11"/>
        <v>0</v>
      </c>
      <c r="AO11" s="70">
        <v>0</v>
      </c>
      <c r="AP11" s="70"/>
      <c r="AQ11" s="339">
        <f t="shared" si="12"/>
        <v>0</v>
      </c>
      <c r="AR11" s="70">
        <v>0</v>
      </c>
      <c r="AS11" s="70"/>
      <c r="AT11" s="339">
        <f t="shared" si="13"/>
        <v>0</v>
      </c>
      <c r="AU11" s="70">
        <v>0</v>
      </c>
      <c r="AV11" s="31"/>
      <c r="AW11" s="36"/>
      <c r="AX11" s="70"/>
      <c r="AY11" s="31"/>
    </row>
    <row r="12" spans="1:51">
      <c r="B12" s="963"/>
      <c r="C12" s="966"/>
      <c r="D12" s="966"/>
      <c r="E12" s="969"/>
      <c r="F12" s="347" t="s">
        <v>560</v>
      </c>
      <c r="G12" s="339">
        <f t="shared" si="0"/>
        <v>332000</v>
      </c>
      <c r="H12" s="345">
        <f>+H13</f>
        <v>332000</v>
      </c>
      <c r="I12" s="70"/>
      <c r="J12" s="339">
        <v>0</v>
      </c>
      <c r="K12" s="345">
        <v>0</v>
      </c>
      <c r="L12" s="345">
        <v>0</v>
      </c>
      <c r="M12" s="339">
        <f t="shared" si="2"/>
        <v>0</v>
      </c>
      <c r="N12" s="345">
        <v>0</v>
      </c>
      <c r="O12" s="70"/>
      <c r="P12" s="343">
        <f>+P13:P13</f>
        <v>91491.308325709062</v>
      </c>
      <c r="Q12" s="345">
        <f>+Q13</f>
        <v>91491.308325709062</v>
      </c>
      <c r="R12" s="70"/>
      <c r="S12" s="343">
        <f>T12+U12</f>
        <v>240508.69167429092</v>
      </c>
      <c r="T12" s="345">
        <f>+SUM(T13:T13)</f>
        <v>240508.69167429092</v>
      </c>
      <c r="U12" s="70"/>
      <c r="V12" s="343">
        <f>+W12</f>
        <v>40445912.319539979</v>
      </c>
      <c r="W12" s="345">
        <f>106709.000130702*379.03</f>
        <v>40445912.319539979</v>
      </c>
      <c r="X12" s="70"/>
      <c r="Y12" s="343">
        <f>+Z12</f>
        <v>50714025.748268321</v>
      </c>
      <c r="Z12" s="345">
        <f>133799.503332898*379.03</f>
        <v>50714025.748268321</v>
      </c>
      <c r="AA12" s="70"/>
      <c r="AB12" s="339">
        <f t="shared" si="7"/>
        <v>0</v>
      </c>
      <c r="AC12" s="70">
        <v>0</v>
      </c>
      <c r="AD12" s="31"/>
      <c r="AE12" s="30">
        <f t="shared" si="8"/>
        <v>0</v>
      </c>
      <c r="AF12" s="70"/>
      <c r="AG12" s="70"/>
      <c r="AH12" s="343">
        <f>AI12+AJ12</f>
        <v>20202299</v>
      </c>
      <c r="AI12" s="345">
        <f>+SUM(AI13:AI13)</f>
        <v>20202299</v>
      </c>
      <c r="AJ12" s="70"/>
      <c r="AK12" s="339">
        <f t="shared" si="10"/>
        <v>22741800</v>
      </c>
      <c r="AL12" s="345">
        <f>+SUM(AL13:AL13)</f>
        <v>22741800</v>
      </c>
      <c r="AM12" s="70"/>
      <c r="AN12" s="339">
        <f t="shared" si="11"/>
        <v>40445912.269999996</v>
      </c>
      <c r="AO12" s="345">
        <f>+SUM(AO13:AO13)</f>
        <v>40445912.269999996</v>
      </c>
      <c r="AP12" s="70"/>
      <c r="AQ12" s="339">
        <f t="shared" si="12"/>
        <v>40445912.269999996</v>
      </c>
      <c r="AR12" s="345">
        <f>+SUM(AR13:AR13)</f>
        <v>40445912.269999996</v>
      </c>
      <c r="AS12" s="70"/>
      <c r="AT12" s="339">
        <f t="shared" si="13"/>
        <v>40445912.269999996</v>
      </c>
      <c r="AU12" s="345">
        <f>+SUM(AU13:AU13)</f>
        <v>40445912.269999996</v>
      </c>
      <c r="AV12" s="31"/>
      <c r="AW12" s="36"/>
      <c r="AX12" s="70"/>
      <c r="AY12" s="31"/>
    </row>
    <row r="13" spans="1:51">
      <c r="B13" s="963"/>
      <c r="C13" s="966"/>
      <c r="D13" s="966"/>
      <c r="E13" s="969"/>
      <c r="F13" s="13" t="s">
        <v>585</v>
      </c>
      <c r="G13" s="343">
        <f t="shared" si="0"/>
        <v>332000</v>
      </c>
      <c r="H13" s="345">
        <v>332000</v>
      </c>
      <c r="I13" s="345"/>
      <c r="J13" s="343">
        <f t="shared" ref="J13" si="14">K13+L13</f>
        <v>0</v>
      </c>
      <c r="K13" s="345">
        <v>0</v>
      </c>
      <c r="L13" s="345">
        <v>0</v>
      </c>
      <c r="M13" s="343">
        <f t="shared" si="2"/>
        <v>0</v>
      </c>
      <c r="N13" s="345">
        <v>0</v>
      </c>
      <c r="O13" s="345"/>
      <c r="P13" s="343">
        <f t="shared" ref="P13" si="15">Q13+R13</f>
        <v>91491.308325709062</v>
      </c>
      <c r="Q13" s="345">
        <f>35000000/382.55</f>
        <v>91491.308325709062</v>
      </c>
      <c r="R13" s="345"/>
      <c r="S13" s="343">
        <f t="shared" ref="S13" si="16">T13+U13</f>
        <v>240508.69167429092</v>
      </c>
      <c r="T13" s="345">
        <f>+G13-K13-N13-Q13</f>
        <v>240508.69167429092</v>
      </c>
      <c r="U13" s="345"/>
      <c r="V13" s="343">
        <f>+W13</f>
        <v>40445912.319539979</v>
      </c>
      <c r="W13" s="345">
        <f>106709.000130702*379.03</f>
        <v>40445912.319539979</v>
      </c>
      <c r="X13" s="345"/>
      <c r="Y13" s="343">
        <f t="shared" ref="Y13:Y14" si="17">+Z13</f>
        <v>50714025.748268321</v>
      </c>
      <c r="Z13" s="345">
        <f>133799.503332898*379.03</f>
        <v>50714025.748268321</v>
      </c>
      <c r="AA13" s="70"/>
      <c r="AB13" s="339">
        <v>0</v>
      </c>
      <c r="AC13" s="70">
        <v>0</v>
      </c>
      <c r="AD13" s="70">
        <v>0</v>
      </c>
      <c r="AE13" s="30">
        <f t="shared" si="8"/>
        <v>0</v>
      </c>
      <c r="AF13" s="70"/>
      <c r="AG13" s="70"/>
      <c r="AH13" s="343">
        <f>+AI13</f>
        <v>20202299</v>
      </c>
      <c r="AI13" s="345">
        <f>53300*379.03</f>
        <v>20202299</v>
      </c>
      <c r="AJ13" s="345"/>
      <c r="AK13" s="343">
        <f>+AL13</f>
        <v>22741800</v>
      </c>
      <c r="AL13" s="345">
        <f>60000*379.03</f>
        <v>22741800</v>
      </c>
      <c r="AM13" s="345"/>
      <c r="AN13" s="343">
        <f>+AO13</f>
        <v>40445912.269999996</v>
      </c>
      <c r="AO13" s="345">
        <f>106709*379.03</f>
        <v>40445912.269999996</v>
      </c>
      <c r="AP13" s="345"/>
      <c r="AQ13" s="343">
        <f>+AR13</f>
        <v>40445912.269999996</v>
      </c>
      <c r="AR13" s="345">
        <f>106709*379.03</f>
        <v>40445912.269999996</v>
      </c>
      <c r="AS13" s="345"/>
      <c r="AT13" s="343">
        <f>+AU13</f>
        <v>40445912.269999996</v>
      </c>
      <c r="AU13" s="345">
        <f>106709*379.03</f>
        <v>40445912.269999996</v>
      </c>
      <c r="AV13" s="31"/>
      <c r="AW13" s="36"/>
      <c r="AX13" s="70"/>
      <c r="AY13" s="31"/>
    </row>
    <row r="14" spans="1:51" ht="18">
      <c r="A14" s="17"/>
      <c r="B14" s="944" t="s">
        <v>36</v>
      </c>
      <c r="C14" s="945"/>
      <c r="D14" s="945"/>
      <c r="E14" s="945"/>
      <c r="F14" s="945"/>
      <c r="G14" s="346">
        <f>SUM(G13:G13)</f>
        <v>332000</v>
      </c>
      <c r="H14" s="346">
        <v>332000</v>
      </c>
      <c r="I14" s="346">
        <f>SUM(I9:I13)</f>
        <v>0</v>
      </c>
      <c r="J14" s="346">
        <f>SUM(J13:J13)</f>
        <v>0</v>
      </c>
      <c r="K14" s="346">
        <f>SUM(K13:K13)</f>
        <v>0</v>
      </c>
      <c r="L14" s="346">
        <f>SUM(L9:L13)</f>
        <v>0</v>
      </c>
      <c r="M14" s="346">
        <f>SUM(M13:M13)</f>
        <v>0</v>
      </c>
      <c r="N14" s="346">
        <f>SUM(N13:N13)</f>
        <v>0</v>
      </c>
      <c r="O14" s="346">
        <f>SUM(O9:O13)</f>
        <v>0</v>
      </c>
      <c r="P14" s="346">
        <f>SUM(P13:P13)</f>
        <v>91491.308325709062</v>
      </c>
      <c r="Q14" s="346">
        <f>SUM(Q13:Q13)</f>
        <v>91491.308325709062</v>
      </c>
      <c r="R14" s="346">
        <f>SUM(R9:R13)</f>
        <v>0</v>
      </c>
      <c r="S14" s="346">
        <f>SUM(S13:S13)</f>
        <v>240508.69167429092</v>
      </c>
      <c r="T14" s="346">
        <f>SUM(T13:T13)</f>
        <v>240508.69167429092</v>
      </c>
      <c r="U14" s="346">
        <f>SUM(U9:U13)</f>
        <v>0</v>
      </c>
      <c r="V14" s="346">
        <f>SUM(V13:V13)</f>
        <v>40445912.319539979</v>
      </c>
      <c r="W14" s="346">
        <f>SUM(W13:W13)</f>
        <v>40445912.319539979</v>
      </c>
      <c r="X14" s="346">
        <f>SUM(X9:X13)</f>
        <v>0</v>
      </c>
      <c r="Y14" s="343">
        <f t="shared" si="17"/>
        <v>50714025.748268321</v>
      </c>
      <c r="Z14" s="346">
        <f>SUM(Z13:Z13)</f>
        <v>50714025.748268321</v>
      </c>
      <c r="AA14" s="20">
        <f t="shared" ref="AA14:AG14" si="18">SUM(AA9:AA13)</f>
        <v>0</v>
      </c>
      <c r="AB14" s="20">
        <f t="shared" si="18"/>
        <v>0</v>
      </c>
      <c r="AC14" s="20">
        <f t="shared" si="18"/>
        <v>0</v>
      </c>
      <c r="AD14" s="20">
        <f t="shared" si="18"/>
        <v>0</v>
      </c>
      <c r="AE14" s="30">
        <f t="shared" si="18"/>
        <v>0</v>
      </c>
      <c r="AF14" s="20">
        <f t="shared" si="18"/>
        <v>0</v>
      </c>
      <c r="AG14" s="20">
        <f t="shared" si="18"/>
        <v>0</v>
      </c>
      <c r="AH14" s="346">
        <f>SUM(AH13:AH13)</f>
        <v>20202299</v>
      </c>
      <c r="AI14" s="346">
        <f>+AI13</f>
        <v>20202299</v>
      </c>
      <c r="AJ14" s="346">
        <v>0</v>
      </c>
      <c r="AK14" s="346">
        <f>+AK13</f>
        <v>22741800</v>
      </c>
      <c r="AL14" s="346">
        <f>+AL13</f>
        <v>22741800</v>
      </c>
      <c r="AM14" s="346">
        <v>0</v>
      </c>
      <c r="AN14" s="346">
        <f>SUM(AN13:AN13)</f>
        <v>40445912.269999996</v>
      </c>
      <c r="AO14" s="346">
        <f>SUM(AO13:AO13)</f>
        <v>40445912.269999996</v>
      </c>
      <c r="AP14" s="346">
        <v>0</v>
      </c>
      <c r="AQ14" s="346">
        <f>SUM(AQ13:AQ13)</f>
        <v>40445912.269999996</v>
      </c>
      <c r="AR14" s="346">
        <f>SUM(AR13:AR13)</f>
        <v>40445912.269999996</v>
      </c>
      <c r="AS14" s="346">
        <v>0</v>
      </c>
      <c r="AT14" s="346">
        <f>SUM(AT13:AT13)</f>
        <v>40445912.269999996</v>
      </c>
      <c r="AU14" s="346">
        <f>SUM(AU13:AU13)</f>
        <v>40445912.269999996</v>
      </c>
      <c r="AV14" s="20">
        <f>SUM(AV9:AV13)</f>
        <v>0</v>
      </c>
      <c r="AW14" s="30" t="s">
        <v>39</v>
      </c>
      <c r="AX14" s="20" t="s">
        <v>39</v>
      </c>
      <c r="AY14" s="32" t="s">
        <v>39</v>
      </c>
    </row>
    <row r="15" spans="1:51">
      <c r="B15" s="944" t="s">
        <v>18</v>
      </c>
      <c r="C15" s="945"/>
      <c r="D15" s="945"/>
      <c r="E15" s="945"/>
      <c r="F15" s="945"/>
      <c r="G15" s="20">
        <f>SUMIF($E9:$E13,"Վարկային ծրագիր",G9:G13)</f>
        <v>0</v>
      </c>
      <c r="H15" s="20">
        <v>0</v>
      </c>
      <c r="I15" s="20">
        <f t="shared" ref="I15:AV15" si="19">SUMIF($E9:$E13,"Վարկային ծրագիր",I9:I13)</f>
        <v>0</v>
      </c>
      <c r="J15" s="20">
        <f t="shared" si="19"/>
        <v>0</v>
      </c>
      <c r="K15" s="20">
        <f t="shared" si="19"/>
        <v>0</v>
      </c>
      <c r="L15" s="20">
        <f t="shared" si="19"/>
        <v>0</v>
      </c>
      <c r="M15" s="20">
        <f t="shared" si="19"/>
        <v>0</v>
      </c>
      <c r="N15" s="20">
        <f t="shared" si="19"/>
        <v>0</v>
      </c>
      <c r="O15" s="20">
        <f t="shared" si="19"/>
        <v>0</v>
      </c>
      <c r="P15" s="20">
        <f t="shared" si="19"/>
        <v>0</v>
      </c>
      <c r="Q15" s="20">
        <f t="shared" si="19"/>
        <v>0</v>
      </c>
      <c r="R15" s="20">
        <f t="shared" si="19"/>
        <v>0</v>
      </c>
      <c r="S15" s="20">
        <f t="shared" si="19"/>
        <v>0</v>
      </c>
      <c r="T15" s="20">
        <f t="shared" si="19"/>
        <v>0</v>
      </c>
      <c r="U15" s="20">
        <f t="shared" si="19"/>
        <v>0</v>
      </c>
      <c r="V15" s="20">
        <f t="shared" si="19"/>
        <v>0</v>
      </c>
      <c r="W15" s="20">
        <f t="shared" si="19"/>
        <v>0</v>
      </c>
      <c r="X15" s="20">
        <f t="shared" si="19"/>
        <v>0</v>
      </c>
      <c r="Y15" s="20">
        <f t="shared" si="19"/>
        <v>0</v>
      </c>
      <c r="Z15" s="20">
        <f t="shared" si="19"/>
        <v>0</v>
      </c>
      <c r="AA15" s="20">
        <f t="shared" si="19"/>
        <v>0</v>
      </c>
      <c r="AB15" s="20">
        <f t="shared" si="19"/>
        <v>0</v>
      </c>
      <c r="AC15" s="20">
        <f t="shared" si="19"/>
        <v>0</v>
      </c>
      <c r="AD15" s="32">
        <f t="shared" si="19"/>
        <v>0</v>
      </c>
      <c r="AE15" s="30">
        <f t="shared" si="19"/>
        <v>0</v>
      </c>
      <c r="AF15" s="20">
        <f t="shared" si="19"/>
        <v>0</v>
      </c>
      <c r="AG15" s="20">
        <f t="shared" si="19"/>
        <v>0</v>
      </c>
      <c r="AH15" s="20">
        <f t="shared" si="19"/>
        <v>0</v>
      </c>
      <c r="AI15" s="20">
        <f t="shared" si="19"/>
        <v>0</v>
      </c>
      <c r="AJ15" s="20">
        <f t="shared" si="19"/>
        <v>0</v>
      </c>
      <c r="AK15" s="20">
        <f t="shared" si="19"/>
        <v>0</v>
      </c>
      <c r="AL15" s="20">
        <f t="shared" si="19"/>
        <v>0</v>
      </c>
      <c r="AM15" s="20">
        <f t="shared" si="19"/>
        <v>0</v>
      </c>
      <c r="AN15" s="20">
        <f t="shared" si="19"/>
        <v>0</v>
      </c>
      <c r="AO15" s="20">
        <f t="shared" si="19"/>
        <v>0</v>
      </c>
      <c r="AP15" s="20">
        <f t="shared" si="19"/>
        <v>0</v>
      </c>
      <c r="AQ15" s="20">
        <f t="shared" si="19"/>
        <v>0</v>
      </c>
      <c r="AR15" s="20">
        <f t="shared" si="19"/>
        <v>0</v>
      </c>
      <c r="AS15" s="20">
        <f t="shared" si="19"/>
        <v>0</v>
      </c>
      <c r="AT15" s="20">
        <f t="shared" si="19"/>
        <v>0</v>
      </c>
      <c r="AU15" s="20">
        <f t="shared" si="19"/>
        <v>0</v>
      </c>
      <c r="AV15" s="32">
        <f t="shared" si="19"/>
        <v>0</v>
      </c>
      <c r="AW15" s="30" t="s">
        <v>39</v>
      </c>
      <c r="AX15" s="20" t="s">
        <v>39</v>
      </c>
      <c r="AY15" s="32" t="s">
        <v>39</v>
      </c>
    </row>
    <row r="16" spans="1:51">
      <c r="B16" s="944" t="s">
        <v>19</v>
      </c>
      <c r="C16" s="945"/>
      <c r="D16" s="945"/>
      <c r="E16" s="945"/>
      <c r="F16" s="945"/>
      <c r="G16" s="346">
        <f>+G14</f>
        <v>332000</v>
      </c>
      <c r="H16" s="346">
        <v>332000</v>
      </c>
      <c r="I16" s="346">
        <f t="shared" ref="I16:AU16" si="20">+I14</f>
        <v>0</v>
      </c>
      <c r="J16" s="346">
        <f t="shared" si="20"/>
        <v>0</v>
      </c>
      <c r="K16" s="346">
        <f t="shared" si="20"/>
        <v>0</v>
      </c>
      <c r="L16" s="346">
        <f t="shared" si="20"/>
        <v>0</v>
      </c>
      <c r="M16" s="346">
        <f t="shared" si="20"/>
        <v>0</v>
      </c>
      <c r="N16" s="346">
        <f t="shared" si="20"/>
        <v>0</v>
      </c>
      <c r="O16" s="346">
        <f t="shared" si="20"/>
        <v>0</v>
      </c>
      <c r="P16" s="346">
        <f t="shared" si="20"/>
        <v>91491.308325709062</v>
      </c>
      <c r="Q16" s="346">
        <f t="shared" si="20"/>
        <v>91491.308325709062</v>
      </c>
      <c r="R16" s="346">
        <f t="shared" si="20"/>
        <v>0</v>
      </c>
      <c r="S16" s="346">
        <f t="shared" si="20"/>
        <v>240508.69167429092</v>
      </c>
      <c r="T16" s="346">
        <f t="shared" si="20"/>
        <v>240508.69167429092</v>
      </c>
      <c r="U16" s="346">
        <f t="shared" si="20"/>
        <v>0</v>
      </c>
      <c r="V16" s="346">
        <f t="shared" si="20"/>
        <v>40445912.319539979</v>
      </c>
      <c r="W16" s="346">
        <f t="shared" si="20"/>
        <v>40445912.319539979</v>
      </c>
      <c r="X16" s="346">
        <f t="shared" si="20"/>
        <v>0</v>
      </c>
      <c r="Y16" s="346">
        <f t="shared" si="20"/>
        <v>50714025.748268321</v>
      </c>
      <c r="Z16" s="346">
        <f t="shared" si="20"/>
        <v>50714025.748268321</v>
      </c>
      <c r="AA16" s="346">
        <f t="shared" si="20"/>
        <v>0</v>
      </c>
      <c r="AB16" s="346">
        <f t="shared" si="20"/>
        <v>0</v>
      </c>
      <c r="AC16" s="346">
        <f t="shared" si="20"/>
        <v>0</v>
      </c>
      <c r="AD16" s="346">
        <f t="shared" si="20"/>
        <v>0</v>
      </c>
      <c r="AE16" s="346">
        <f t="shared" si="20"/>
        <v>0</v>
      </c>
      <c r="AF16" s="346">
        <f t="shared" si="20"/>
        <v>0</v>
      </c>
      <c r="AG16" s="346">
        <f t="shared" si="20"/>
        <v>0</v>
      </c>
      <c r="AH16" s="346">
        <f t="shared" si="20"/>
        <v>20202299</v>
      </c>
      <c r="AI16" s="346">
        <f t="shared" si="20"/>
        <v>20202299</v>
      </c>
      <c r="AJ16" s="346">
        <f t="shared" si="20"/>
        <v>0</v>
      </c>
      <c r="AK16" s="346">
        <f t="shared" si="20"/>
        <v>22741800</v>
      </c>
      <c r="AL16" s="346">
        <f t="shared" si="20"/>
        <v>22741800</v>
      </c>
      <c r="AM16" s="346">
        <f t="shared" si="20"/>
        <v>0</v>
      </c>
      <c r="AN16" s="346">
        <f t="shared" si="20"/>
        <v>40445912.269999996</v>
      </c>
      <c r="AO16" s="346">
        <f t="shared" si="20"/>
        <v>40445912.269999996</v>
      </c>
      <c r="AP16" s="346">
        <f t="shared" si="20"/>
        <v>0</v>
      </c>
      <c r="AQ16" s="346">
        <f t="shared" si="20"/>
        <v>40445912.269999996</v>
      </c>
      <c r="AR16" s="346">
        <f t="shared" si="20"/>
        <v>40445912.269999996</v>
      </c>
      <c r="AS16" s="346">
        <f t="shared" si="20"/>
        <v>0</v>
      </c>
      <c r="AT16" s="346">
        <f t="shared" si="20"/>
        <v>40445912.269999996</v>
      </c>
      <c r="AU16" s="346">
        <f t="shared" si="20"/>
        <v>40445912.269999996</v>
      </c>
      <c r="AV16" s="32">
        <f>SUMIF($E9:$E13,"Դրամաշնորհային ծրագիր",AV9:AV13)</f>
        <v>0</v>
      </c>
      <c r="AW16" s="30" t="s">
        <v>39</v>
      </c>
      <c r="AX16" s="20" t="s">
        <v>39</v>
      </c>
      <c r="AY16" s="32" t="s">
        <v>39</v>
      </c>
    </row>
    <row r="17" spans="2:4" ht="17.25" customHeight="1"/>
    <row r="19" spans="2:4">
      <c r="B19" s="73" t="s">
        <v>191</v>
      </c>
      <c r="C19" s="58"/>
      <c r="D19" s="59"/>
    </row>
  </sheetData>
  <mergeCells count="30">
    <mergeCell ref="AE6:AG7"/>
    <mergeCell ref="AH6:AV6"/>
    <mergeCell ref="AT7:AV7"/>
    <mergeCell ref="B6:C7"/>
    <mergeCell ref="D6:D8"/>
    <mergeCell ref="E6:E8"/>
    <mergeCell ref="F6:F8"/>
    <mergeCell ref="G6:I7"/>
    <mergeCell ref="J6:L7"/>
    <mergeCell ref="B15:F15"/>
    <mergeCell ref="B16:F16"/>
    <mergeCell ref="AW6:AW8"/>
    <mergeCell ref="AX6:AX8"/>
    <mergeCell ref="AY6:AY8"/>
    <mergeCell ref="V7:X7"/>
    <mergeCell ref="Y7:AA7"/>
    <mergeCell ref="AB7:AD7"/>
    <mergeCell ref="AH7:AJ7"/>
    <mergeCell ref="AK7:AM7"/>
    <mergeCell ref="AN7:AP7"/>
    <mergeCell ref="AQ7:AS7"/>
    <mergeCell ref="M6:O7"/>
    <mergeCell ref="P6:R7"/>
    <mergeCell ref="S6:U7"/>
    <mergeCell ref="V6:AD6"/>
    <mergeCell ref="B9:B13"/>
    <mergeCell ref="C9:C13"/>
    <mergeCell ref="D9:D13"/>
    <mergeCell ref="E9:E13"/>
    <mergeCell ref="B14:F14"/>
  </mergeCells>
  <dataValidations count="1">
    <dataValidation type="list" allowBlank="1" showInputMessage="1" showErrorMessage="1" sqref="E9">
      <formula1>$BE$1:$BE$3</formula1>
    </dataValidation>
  </dataValidations>
  <pageMargins left="0.7" right="0.7" top="0.75" bottom="0.75" header="0.3" footer="0.3"/>
  <pageSetup paperSize="9" orientation="portrait"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AW20"/>
  <sheetViews>
    <sheetView workbookViewId="0">
      <selection activeCell="B20" sqref="B20"/>
    </sheetView>
  </sheetViews>
  <sheetFormatPr defaultRowHeight="14.4"/>
  <cols>
    <col min="1" max="1" width="6.44140625" customWidth="1"/>
    <col min="2" max="2" width="10.6640625" customWidth="1"/>
    <col min="3" max="3" width="12.6640625" customWidth="1"/>
    <col min="4" max="4" width="22.44140625" customWidth="1"/>
    <col min="5" max="7" width="9.33203125" customWidth="1"/>
    <col min="8" max="10" width="8.6640625" customWidth="1"/>
    <col min="11" max="13" width="7.44140625" customWidth="1"/>
    <col min="14" max="16" width="8.33203125" customWidth="1"/>
    <col min="17" max="19" width="7.6640625" customWidth="1"/>
    <col min="25" max="25" width="6.44140625" customWidth="1"/>
    <col min="26" max="26" width="5.88671875" customWidth="1"/>
    <col min="27" max="27" width="9.109375" customWidth="1"/>
  </cols>
  <sheetData>
    <row r="1" spans="1:49" ht="18">
      <c r="A1" s="61" t="s">
        <v>67</v>
      </c>
      <c r="B1" s="64"/>
      <c r="C1" s="64"/>
      <c r="D1" s="64"/>
      <c r="E1" s="64"/>
      <c r="F1" s="64"/>
      <c r="G1" s="64"/>
      <c r="H1" s="64"/>
      <c r="I1" s="64"/>
      <c r="J1" s="64"/>
      <c r="K1" s="64"/>
      <c r="L1" s="64"/>
      <c r="M1" s="64"/>
      <c r="N1" s="64"/>
      <c r="O1" s="64"/>
      <c r="P1" s="64"/>
      <c r="Q1" s="64"/>
      <c r="R1" s="64"/>
      <c r="S1" s="64"/>
    </row>
    <row r="2" spans="1:49" ht="18">
      <c r="A2" s="61"/>
      <c r="B2" s="64"/>
      <c r="C2" s="64"/>
      <c r="D2" s="64"/>
      <c r="E2" s="64"/>
      <c r="F2" s="64"/>
      <c r="G2" s="64"/>
      <c r="H2" s="64"/>
      <c r="I2" s="64"/>
      <c r="J2" s="64"/>
      <c r="K2" s="64"/>
      <c r="L2" s="64"/>
      <c r="M2" s="64"/>
      <c r="N2" s="64"/>
      <c r="O2" s="64"/>
      <c r="P2" s="64"/>
      <c r="Q2" s="64"/>
      <c r="R2" s="64"/>
      <c r="S2" s="64"/>
    </row>
    <row r="3" spans="1:49" s="51" customFormat="1" ht="18">
      <c r="A3" s="61" t="s">
        <v>308</v>
      </c>
      <c r="B3" s="64"/>
      <c r="C3" s="64"/>
      <c r="D3" s="64"/>
      <c r="E3" s="64"/>
      <c r="F3" s="64"/>
      <c r="G3" s="64"/>
      <c r="H3" s="64"/>
      <c r="I3" s="64"/>
      <c r="J3" s="64"/>
      <c r="K3" s="64"/>
      <c r="L3" s="64"/>
      <c r="M3" s="64"/>
      <c r="N3" s="64"/>
      <c r="O3" s="64"/>
      <c r="P3" s="64"/>
      <c r="Q3" s="64"/>
      <c r="R3" s="64"/>
      <c r="S3" s="64"/>
    </row>
    <row r="4" spans="1:49" ht="15" thickBot="1">
      <c r="A4" s="973"/>
      <c r="B4" s="973"/>
      <c r="C4" s="973"/>
      <c r="D4" s="973"/>
      <c r="E4" s="973"/>
      <c r="F4" s="973"/>
      <c r="G4" s="973"/>
      <c r="H4" s="973"/>
      <c r="I4" s="973"/>
      <c r="J4" s="973"/>
      <c r="K4" s="973"/>
      <c r="L4" s="973"/>
      <c r="M4" s="973"/>
      <c r="N4" s="973"/>
      <c r="O4" s="973"/>
      <c r="P4" s="973"/>
      <c r="Q4" s="973"/>
      <c r="R4" s="973"/>
      <c r="S4" s="973"/>
    </row>
    <row r="5" spans="1:49" ht="15" customHeight="1">
      <c r="B5" s="977" t="s">
        <v>5</v>
      </c>
      <c r="C5" s="950"/>
      <c r="D5" s="950" t="s">
        <v>45</v>
      </c>
      <c r="E5" s="950" t="s">
        <v>59</v>
      </c>
      <c r="F5" s="950"/>
      <c r="G5" s="950"/>
      <c r="H5" s="950" t="s">
        <v>104</v>
      </c>
      <c r="I5" s="950"/>
      <c r="J5" s="950"/>
      <c r="K5" s="950" t="s">
        <v>105</v>
      </c>
      <c r="L5" s="950"/>
      <c r="M5" s="950"/>
      <c r="N5" s="950" t="s">
        <v>106</v>
      </c>
      <c r="O5" s="950"/>
      <c r="P5" s="950"/>
      <c r="Q5" s="950" t="s">
        <v>17</v>
      </c>
      <c r="R5" s="950"/>
      <c r="S5" s="950"/>
      <c r="T5" s="950" t="s">
        <v>13</v>
      </c>
      <c r="U5" s="950"/>
      <c r="V5" s="950"/>
      <c r="W5" s="950"/>
      <c r="X5" s="950"/>
      <c r="Y5" s="950"/>
      <c r="Z5" s="950"/>
      <c r="AA5" s="950"/>
      <c r="AB5" s="951"/>
      <c r="AC5" s="971" t="s">
        <v>107</v>
      </c>
      <c r="AD5" s="946"/>
      <c r="AE5" s="946"/>
      <c r="AF5" s="946" t="s">
        <v>108</v>
      </c>
      <c r="AG5" s="946"/>
      <c r="AH5" s="946"/>
      <c r="AI5" s="946"/>
      <c r="AJ5" s="946"/>
      <c r="AK5" s="946"/>
      <c r="AL5" s="946"/>
      <c r="AM5" s="946"/>
      <c r="AN5" s="946"/>
      <c r="AO5" s="946"/>
      <c r="AP5" s="946"/>
      <c r="AQ5" s="946"/>
      <c r="AR5" s="946"/>
      <c r="AS5" s="946"/>
      <c r="AT5" s="947"/>
      <c r="AU5" s="948" t="s">
        <v>23</v>
      </c>
      <c r="AV5" s="956" t="s">
        <v>24</v>
      </c>
      <c r="AW5" s="958" t="s">
        <v>74</v>
      </c>
    </row>
    <row r="6" spans="1:49" ht="23.25" customHeight="1">
      <c r="B6" s="978"/>
      <c r="C6" s="775"/>
      <c r="D6" s="775"/>
      <c r="E6" s="775"/>
      <c r="F6" s="775"/>
      <c r="G6" s="775"/>
      <c r="H6" s="775"/>
      <c r="I6" s="775"/>
      <c r="J6" s="775"/>
      <c r="K6" s="775"/>
      <c r="L6" s="775"/>
      <c r="M6" s="775"/>
      <c r="N6" s="775"/>
      <c r="O6" s="775"/>
      <c r="P6" s="775"/>
      <c r="Q6" s="775"/>
      <c r="R6" s="775"/>
      <c r="S6" s="775"/>
      <c r="T6" s="775" t="s">
        <v>55</v>
      </c>
      <c r="U6" s="775"/>
      <c r="V6" s="775"/>
      <c r="W6" s="775" t="s">
        <v>73</v>
      </c>
      <c r="X6" s="775"/>
      <c r="Y6" s="775"/>
      <c r="Z6" s="775" t="s">
        <v>110</v>
      </c>
      <c r="AA6" s="775"/>
      <c r="AB6" s="955"/>
      <c r="AC6" s="972"/>
      <c r="AD6" s="960"/>
      <c r="AE6" s="960"/>
      <c r="AF6" s="960" t="s">
        <v>25</v>
      </c>
      <c r="AG6" s="960"/>
      <c r="AH6" s="960"/>
      <c r="AI6" s="960" t="s">
        <v>26</v>
      </c>
      <c r="AJ6" s="960"/>
      <c r="AK6" s="960"/>
      <c r="AL6" s="960" t="s">
        <v>27</v>
      </c>
      <c r="AM6" s="960"/>
      <c r="AN6" s="960"/>
      <c r="AO6" s="960" t="s">
        <v>28</v>
      </c>
      <c r="AP6" s="960"/>
      <c r="AQ6" s="960"/>
      <c r="AR6" s="960" t="s">
        <v>29</v>
      </c>
      <c r="AS6" s="960"/>
      <c r="AT6" s="961"/>
      <c r="AU6" s="949"/>
      <c r="AV6" s="957"/>
      <c r="AW6" s="959"/>
    </row>
    <row r="7" spans="1:49" ht="126" customHeight="1">
      <c r="B7" s="37" t="s">
        <v>1</v>
      </c>
      <c r="C7" s="45" t="s">
        <v>20</v>
      </c>
      <c r="D7" s="775"/>
      <c r="E7" s="50" t="s">
        <v>9</v>
      </c>
      <c r="F7" s="50" t="s">
        <v>15</v>
      </c>
      <c r="G7" s="50" t="s">
        <v>16</v>
      </c>
      <c r="H7" s="50" t="s">
        <v>9</v>
      </c>
      <c r="I7" s="50" t="s">
        <v>15</v>
      </c>
      <c r="J7" s="50" t="s">
        <v>16</v>
      </c>
      <c r="K7" s="50" t="s">
        <v>9</v>
      </c>
      <c r="L7" s="50" t="s">
        <v>15</v>
      </c>
      <c r="M7" s="50" t="s">
        <v>16</v>
      </c>
      <c r="N7" s="50" t="s">
        <v>9</v>
      </c>
      <c r="O7" s="50" t="s">
        <v>15</v>
      </c>
      <c r="P7" s="50" t="s">
        <v>16</v>
      </c>
      <c r="Q7" s="50" t="s">
        <v>9</v>
      </c>
      <c r="R7" s="50" t="s">
        <v>15</v>
      </c>
      <c r="S7" s="50" t="s">
        <v>16</v>
      </c>
      <c r="T7" s="18" t="s">
        <v>9</v>
      </c>
      <c r="U7" s="18" t="s">
        <v>15</v>
      </c>
      <c r="V7" s="18" t="s">
        <v>16</v>
      </c>
      <c r="W7" s="18" t="s">
        <v>9</v>
      </c>
      <c r="X7" s="18" t="s">
        <v>15</v>
      </c>
      <c r="Y7" s="18" t="s">
        <v>16</v>
      </c>
      <c r="Z7" s="18" t="s">
        <v>9</v>
      </c>
      <c r="AA7" s="18" t="s">
        <v>15</v>
      </c>
      <c r="AB7" s="49" t="s">
        <v>16</v>
      </c>
      <c r="AC7" s="28" t="s">
        <v>9</v>
      </c>
      <c r="AD7" s="27" t="s">
        <v>15</v>
      </c>
      <c r="AE7" s="27" t="s">
        <v>16</v>
      </c>
      <c r="AF7" s="27" t="s">
        <v>9</v>
      </c>
      <c r="AG7" s="27" t="s">
        <v>15</v>
      </c>
      <c r="AH7" s="27" t="s">
        <v>16</v>
      </c>
      <c r="AI7" s="27" t="s">
        <v>9</v>
      </c>
      <c r="AJ7" s="27" t="s">
        <v>15</v>
      </c>
      <c r="AK7" s="27" t="s">
        <v>16</v>
      </c>
      <c r="AL7" s="27" t="s">
        <v>9</v>
      </c>
      <c r="AM7" s="27" t="s">
        <v>15</v>
      </c>
      <c r="AN7" s="27" t="s">
        <v>16</v>
      </c>
      <c r="AO7" s="27" t="s">
        <v>9</v>
      </c>
      <c r="AP7" s="27" t="s">
        <v>15</v>
      </c>
      <c r="AQ7" s="27" t="s">
        <v>16</v>
      </c>
      <c r="AR7" s="27" t="s">
        <v>9</v>
      </c>
      <c r="AS7" s="27" t="s">
        <v>15</v>
      </c>
      <c r="AT7" s="29" t="s">
        <v>16</v>
      </c>
      <c r="AU7" s="949"/>
      <c r="AV7" s="957"/>
      <c r="AW7" s="959"/>
    </row>
    <row r="8" spans="1:49">
      <c r="B8" s="38"/>
      <c r="C8" s="13"/>
      <c r="D8" s="13"/>
      <c r="E8" s="48">
        <f>F8+G8</f>
        <v>0</v>
      </c>
      <c r="F8" s="46"/>
      <c r="G8" s="46"/>
      <c r="H8" s="48">
        <f>I8+J8</f>
        <v>0</v>
      </c>
      <c r="I8" s="46"/>
      <c r="J8" s="46"/>
      <c r="K8" s="48">
        <f>L8+M8</f>
        <v>0</v>
      </c>
      <c r="L8" s="46"/>
      <c r="M8" s="46"/>
      <c r="N8" s="48">
        <f>O8+P8</f>
        <v>0</v>
      </c>
      <c r="O8" s="46"/>
      <c r="P8" s="46"/>
      <c r="Q8" s="48">
        <f>R8+S8</f>
        <v>0</v>
      </c>
      <c r="R8" s="46"/>
      <c r="S8" s="46"/>
      <c r="T8" s="48">
        <f>U8+V8</f>
        <v>0</v>
      </c>
      <c r="U8" s="46"/>
      <c r="V8" s="46"/>
      <c r="W8" s="48">
        <f>X8+Y8</f>
        <v>0</v>
      </c>
      <c r="X8" s="46"/>
      <c r="Y8" s="46"/>
      <c r="Z8" s="48">
        <f>AA8+AB8</f>
        <v>0</v>
      </c>
      <c r="AA8" s="46"/>
      <c r="AB8" s="46"/>
      <c r="AC8" s="48">
        <f>AD8+AE8</f>
        <v>0</v>
      </c>
      <c r="AD8" s="46"/>
      <c r="AE8" s="46"/>
      <c r="AF8" s="48">
        <f>AG8+AH8</f>
        <v>0</v>
      </c>
      <c r="AG8" s="46"/>
      <c r="AH8" s="46"/>
      <c r="AI8" s="48">
        <f>AJ8+AK8</f>
        <v>0</v>
      </c>
      <c r="AJ8" s="46"/>
      <c r="AK8" s="46"/>
      <c r="AL8" s="48">
        <f>AM8+AN8</f>
        <v>0</v>
      </c>
      <c r="AM8" s="46"/>
      <c r="AN8" s="46"/>
      <c r="AO8" s="48">
        <f>AP8+AQ8</f>
        <v>0</v>
      </c>
      <c r="AP8" s="46"/>
      <c r="AQ8" s="46"/>
      <c r="AR8" s="48">
        <f>AS8+AT8</f>
        <v>0</v>
      </c>
      <c r="AS8" s="46"/>
      <c r="AT8" s="46"/>
      <c r="AU8" s="36"/>
      <c r="AV8" s="46"/>
      <c r="AW8" s="31"/>
    </row>
    <row r="9" spans="1:49">
      <c r="B9" s="38"/>
      <c r="C9" s="13"/>
      <c r="D9" s="13"/>
      <c r="E9" s="48">
        <f t="shared" ref="E9:E16" si="0">F9+G9</f>
        <v>0</v>
      </c>
      <c r="F9" s="46"/>
      <c r="G9" s="46"/>
      <c r="H9" s="48">
        <f t="shared" ref="H9:H16" si="1">I9+J9</f>
        <v>0</v>
      </c>
      <c r="I9" s="46"/>
      <c r="J9" s="46"/>
      <c r="K9" s="48">
        <f t="shared" ref="K9:K16" si="2">L9+M9</f>
        <v>0</v>
      </c>
      <c r="L9" s="46"/>
      <c r="M9" s="46"/>
      <c r="N9" s="48">
        <f t="shared" ref="N9:N16" si="3">O9+P9</f>
        <v>0</v>
      </c>
      <c r="O9" s="46"/>
      <c r="P9" s="46"/>
      <c r="Q9" s="48">
        <f t="shared" ref="Q9:Q16" si="4">R9+S9</f>
        <v>0</v>
      </c>
      <c r="R9" s="46"/>
      <c r="S9" s="46"/>
      <c r="T9" s="48">
        <f t="shared" ref="T9:T16" si="5">U9+V9</f>
        <v>0</v>
      </c>
      <c r="U9" s="46"/>
      <c r="V9" s="46"/>
      <c r="W9" s="48">
        <f t="shared" ref="W9:W16" si="6">X9+Y9</f>
        <v>0</v>
      </c>
      <c r="X9" s="46"/>
      <c r="Y9" s="46"/>
      <c r="Z9" s="48">
        <f t="shared" ref="Z9:Z16" si="7">AA9+AB9</f>
        <v>0</v>
      </c>
      <c r="AA9" s="46"/>
      <c r="AB9" s="46"/>
      <c r="AC9" s="48">
        <f t="shared" ref="AC9:AC16" si="8">AD9+AE9</f>
        <v>0</v>
      </c>
      <c r="AD9" s="46"/>
      <c r="AE9" s="46"/>
      <c r="AF9" s="48">
        <f t="shared" ref="AF9:AF16" si="9">AG9+AH9</f>
        <v>0</v>
      </c>
      <c r="AG9" s="46"/>
      <c r="AH9" s="46"/>
      <c r="AI9" s="48">
        <f t="shared" ref="AI9:AI16" si="10">AJ9+AK9</f>
        <v>0</v>
      </c>
      <c r="AJ9" s="46"/>
      <c r="AK9" s="46"/>
      <c r="AL9" s="48">
        <f t="shared" ref="AL9:AL16" si="11">AM9+AN9</f>
        <v>0</v>
      </c>
      <c r="AM9" s="46"/>
      <c r="AN9" s="46"/>
      <c r="AO9" s="48">
        <f t="shared" ref="AO9:AO16" si="12">AP9+AQ9</f>
        <v>0</v>
      </c>
      <c r="AP9" s="46"/>
      <c r="AQ9" s="46"/>
      <c r="AR9" s="48">
        <f t="shared" ref="AR9:AR16" si="13">AS9+AT9</f>
        <v>0</v>
      </c>
      <c r="AS9" s="46"/>
      <c r="AT9" s="46"/>
      <c r="AU9" s="36"/>
      <c r="AV9" s="46"/>
      <c r="AW9" s="31"/>
    </row>
    <row r="10" spans="1:49">
      <c r="B10" s="38"/>
      <c r="C10" s="13"/>
      <c r="D10" s="13"/>
      <c r="E10" s="48">
        <f t="shared" si="0"/>
        <v>0</v>
      </c>
      <c r="F10" s="46"/>
      <c r="G10" s="46"/>
      <c r="H10" s="48">
        <f t="shared" si="1"/>
        <v>0</v>
      </c>
      <c r="I10" s="46"/>
      <c r="J10" s="46"/>
      <c r="K10" s="48">
        <f t="shared" si="2"/>
        <v>0</v>
      </c>
      <c r="L10" s="46"/>
      <c r="M10" s="46"/>
      <c r="N10" s="48">
        <f t="shared" si="3"/>
        <v>0</v>
      </c>
      <c r="O10" s="46"/>
      <c r="P10" s="46"/>
      <c r="Q10" s="48">
        <f t="shared" si="4"/>
        <v>0</v>
      </c>
      <c r="R10" s="46"/>
      <c r="S10" s="46"/>
      <c r="T10" s="48">
        <f t="shared" si="5"/>
        <v>0</v>
      </c>
      <c r="U10" s="46"/>
      <c r="V10" s="46"/>
      <c r="W10" s="48">
        <f t="shared" si="6"/>
        <v>0</v>
      </c>
      <c r="X10" s="46"/>
      <c r="Y10" s="46"/>
      <c r="Z10" s="48">
        <f t="shared" si="7"/>
        <v>0</v>
      </c>
      <c r="AA10" s="46"/>
      <c r="AB10" s="46"/>
      <c r="AC10" s="48">
        <f t="shared" si="8"/>
        <v>0</v>
      </c>
      <c r="AD10" s="46"/>
      <c r="AE10" s="46"/>
      <c r="AF10" s="48">
        <f t="shared" si="9"/>
        <v>0</v>
      </c>
      <c r="AG10" s="46"/>
      <c r="AH10" s="46"/>
      <c r="AI10" s="48">
        <f t="shared" si="10"/>
        <v>0</v>
      </c>
      <c r="AJ10" s="46"/>
      <c r="AK10" s="46"/>
      <c r="AL10" s="48">
        <f t="shared" si="11"/>
        <v>0</v>
      </c>
      <c r="AM10" s="46"/>
      <c r="AN10" s="46"/>
      <c r="AO10" s="48">
        <f t="shared" si="12"/>
        <v>0</v>
      </c>
      <c r="AP10" s="46"/>
      <c r="AQ10" s="46"/>
      <c r="AR10" s="48">
        <f t="shared" si="13"/>
        <v>0</v>
      </c>
      <c r="AS10" s="46"/>
      <c r="AT10" s="46"/>
      <c r="AU10" s="36"/>
      <c r="AV10" s="46"/>
      <c r="AW10" s="31"/>
    </row>
    <row r="11" spans="1:49">
      <c r="B11" s="38"/>
      <c r="C11" s="13"/>
      <c r="D11" s="13"/>
      <c r="E11" s="48">
        <f t="shared" si="0"/>
        <v>0</v>
      </c>
      <c r="F11" s="46"/>
      <c r="G11" s="46"/>
      <c r="H11" s="48">
        <f t="shared" si="1"/>
        <v>0</v>
      </c>
      <c r="I11" s="46"/>
      <c r="J11" s="46"/>
      <c r="K11" s="48">
        <f t="shared" si="2"/>
        <v>0</v>
      </c>
      <c r="L11" s="46"/>
      <c r="M11" s="46"/>
      <c r="N11" s="48">
        <f t="shared" si="3"/>
        <v>0</v>
      </c>
      <c r="O11" s="46"/>
      <c r="P11" s="46"/>
      <c r="Q11" s="48">
        <f t="shared" si="4"/>
        <v>0</v>
      </c>
      <c r="R11" s="46"/>
      <c r="S11" s="46"/>
      <c r="T11" s="48">
        <f t="shared" si="5"/>
        <v>0</v>
      </c>
      <c r="U11" s="46"/>
      <c r="V11" s="46"/>
      <c r="W11" s="48">
        <f t="shared" si="6"/>
        <v>0</v>
      </c>
      <c r="X11" s="46"/>
      <c r="Y11" s="46"/>
      <c r="Z11" s="48">
        <f t="shared" si="7"/>
        <v>0</v>
      </c>
      <c r="AA11" s="46"/>
      <c r="AB11" s="46"/>
      <c r="AC11" s="48">
        <f t="shared" si="8"/>
        <v>0</v>
      </c>
      <c r="AD11" s="46"/>
      <c r="AE11" s="46"/>
      <c r="AF11" s="48">
        <f t="shared" si="9"/>
        <v>0</v>
      </c>
      <c r="AG11" s="46"/>
      <c r="AH11" s="46"/>
      <c r="AI11" s="48">
        <f t="shared" si="10"/>
        <v>0</v>
      </c>
      <c r="AJ11" s="46"/>
      <c r="AK11" s="46"/>
      <c r="AL11" s="48">
        <f t="shared" si="11"/>
        <v>0</v>
      </c>
      <c r="AM11" s="46"/>
      <c r="AN11" s="46"/>
      <c r="AO11" s="48">
        <f t="shared" si="12"/>
        <v>0</v>
      </c>
      <c r="AP11" s="46"/>
      <c r="AQ11" s="46"/>
      <c r="AR11" s="48">
        <f t="shared" si="13"/>
        <v>0</v>
      </c>
      <c r="AS11" s="46"/>
      <c r="AT11" s="46"/>
      <c r="AU11" s="36"/>
      <c r="AV11" s="46"/>
      <c r="AW11" s="31"/>
    </row>
    <row r="12" spans="1:49">
      <c r="B12" s="38"/>
      <c r="C12" s="13"/>
      <c r="D12" s="13"/>
      <c r="E12" s="48">
        <f t="shared" si="0"/>
        <v>0</v>
      </c>
      <c r="F12" s="70"/>
      <c r="G12" s="46"/>
      <c r="H12" s="48">
        <f t="shared" si="1"/>
        <v>0</v>
      </c>
      <c r="I12" s="46"/>
      <c r="J12" s="46"/>
      <c r="K12" s="48">
        <f t="shared" si="2"/>
        <v>0</v>
      </c>
      <c r="L12" s="46"/>
      <c r="M12" s="46"/>
      <c r="N12" s="48">
        <f t="shared" si="3"/>
        <v>0</v>
      </c>
      <c r="O12" s="46"/>
      <c r="P12" s="46"/>
      <c r="Q12" s="48">
        <f t="shared" si="4"/>
        <v>0</v>
      </c>
      <c r="R12" s="46"/>
      <c r="S12" s="46"/>
      <c r="T12" s="48">
        <f t="shared" si="5"/>
        <v>0</v>
      </c>
      <c r="U12" s="46"/>
      <c r="V12" s="46"/>
      <c r="W12" s="48">
        <f t="shared" si="6"/>
        <v>0</v>
      </c>
      <c r="X12" s="46"/>
      <c r="Y12" s="46"/>
      <c r="Z12" s="48">
        <f t="shared" si="7"/>
        <v>0</v>
      </c>
      <c r="AA12" s="46"/>
      <c r="AB12" s="46"/>
      <c r="AC12" s="48">
        <f t="shared" si="8"/>
        <v>0</v>
      </c>
      <c r="AD12" s="46"/>
      <c r="AE12" s="46"/>
      <c r="AF12" s="48">
        <f t="shared" si="9"/>
        <v>0</v>
      </c>
      <c r="AG12" s="46"/>
      <c r="AH12" s="46"/>
      <c r="AI12" s="48">
        <f t="shared" si="10"/>
        <v>0</v>
      </c>
      <c r="AJ12" s="46"/>
      <c r="AK12" s="46"/>
      <c r="AL12" s="48">
        <f t="shared" si="11"/>
        <v>0</v>
      </c>
      <c r="AM12" s="46"/>
      <c r="AN12" s="46"/>
      <c r="AO12" s="48">
        <f t="shared" si="12"/>
        <v>0</v>
      </c>
      <c r="AP12" s="46"/>
      <c r="AQ12" s="46"/>
      <c r="AR12" s="48">
        <f t="shared" si="13"/>
        <v>0</v>
      </c>
      <c r="AS12" s="46"/>
      <c r="AT12" s="46"/>
      <c r="AU12" s="36"/>
      <c r="AV12" s="46"/>
      <c r="AW12" s="31"/>
    </row>
    <row r="13" spans="1:49">
      <c r="B13" s="38"/>
      <c r="C13" s="13"/>
      <c r="D13" s="13"/>
      <c r="E13" s="48">
        <f t="shared" si="0"/>
        <v>0</v>
      </c>
      <c r="F13" s="70"/>
      <c r="G13" s="46"/>
      <c r="H13" s="48">
        <f t="shared" si="1"/>
        <v>0</v>
      </c>
      <c r="I13" s="46"/>
      <c r="J13" s="46"/>
      <c r="K13" s="48">
        <f t="shared" si="2"/>
        <v>0</v>
      </c>
      <c r="L13" s="46"/>
      <c r="M13" s="46"/>
      <c r="N13" s="48">
        <f t="shared" si="3"/>
        <v>0</v>
      </c>
      <c r="O13" s="46"/>
      <c r="P13" s="46"/>
      <c r="Q13" s="48">
        <f t="shared" si="4"/>
        <v>0</v>
      </c>
      <c r="R13" s="46"/>
      <c r="S13" s="46"/>
      <c r="T13" s="48">
        <f t="shared" si="5"/>
        <v>0</v>
      </c>
      <c r="U13" s="46"/>
      <c r="V13" s="46"/>
      <c r="W13" s="48">
        <f t="shared" si="6"/>
        <v>0</v>
      </c>
      <c r="X13" s="46"/>
      <c r="Y13" s="46"/>
      <c r="Z13" s="48">
        <f t="shared" si="7"/>
        <v>0</v>
      </c>
      <c r="AA13" s="46"/>
      <c r="AB13" s="46"/>
      <c r="AC13" s="48">
        <f t="shared" si="8"/>
        <v>0</v>
      </c>
      <c r="AD13" s="46"/>
      <c r="AE13" s="46"/>
      <c r="AF13" s="48">
        <f t="shared" si="9"/>
        <v>0</v>
      </c>
      <c r="AG13" s="46"/>
      <c r="AH13" s="46"/>
      <c r="AI13" s="48">
        <f t="shared" si="10"/>
        <v>0</v>
      </c>
      <c r="AJ13" s="46"/>
      <c r="AK13" s="46"/>
      <c r="AL13" s="48">
        <f t="shared" si="11"/>
        <v>0</v>
      </c>
      <c r="AM13" s="46"/>
      <c r="AN13" s="46"/>
      <c r="AO13" s="48">
        <f t="shared" si="12"/>
        <v>0</v>
      </c>
      <c r="AP13" s="46"/>
      <c r="AQ13" s="46"/>
      <c r="AR13" s="48">
        <f t="shared" si="13"/>
        <v>0</v>
      </c>
      <c r="AS13" s="46"/>
      <c r="AT13" s="46"/>
      <c r="AU13" s="36"/>
      <c r="AV13" s="46"/>
      <c r="AW13" s="31"/>
    </row>
    <row r="14" spans="1:49">
      <c r="B14" s="38"/>
      <c r="C14" s="13"/>
      <c r="D14" s="13"/>
      <c r="E14" s="48">
        <f t="shared" si="0"/>
        <v>0</v>
      </c>
      <c r="F14" s="70"/>
      <c r="G14" s="46"/>
      <c r="H14" s="48">
        <f t="shared" si="1"/>
        <v>0</v>
      </c>
      <c r="I14" s="46"/>
      <c r="J14" s="46"/>
      <c r="K14" s="48">
        <f t="shared" si="2"/>
        <v>0</v>
      </c>
      <c r="L14" s="46"/>
      <c r="M14" s="46"/>
      <c r="N14" s="48">
        <f t="shared" si="3"/>
        <v>0</v>
      </c>
      <c r="O14" s="46"/>
      <c r="P14" s="46"/>
      <c r="Q14" s="48">
        <f t="shared" si="4"/>
        <v>0</v>
      </c>
      <c r="R14" s="46"/>
      <c r="S14" s="46"/>
      <c r="T14" s="48">
        <f t="shared" si="5"/>
        <v>0</v>
      </c>
      <c r="U14" s="46"/>
      <c r="V14" s="46"/>
      <c r="W14" s="48">
        <f t="shared" si="6"/>
        <v>0</v>
      </c>
      <c r="X14" s="46"/>
      <c r="Y14" s="46"/>
      <c r="Z14" s="48">
        <f t="shared" si="7"/>
        <v>0</v>
      </c>
      <c r="AA14" s="46"/>
      <c r="AB14" s="46"/>
      <c r="AC14" s="48">
        <f t="shared" si="8"/>
        <v>0</v>
      </c>
      <c r="AD14" s="46"/>
      <c r="AE14" s="46"/>
      <c r="AF14" s="48">
        <f t="shared" si="9"/>
        <v>0</v>
      </c>
      <c r="AG14" s="46"/>
      <c r="AH14" s="46"/>
      <c r="AI14" s="48">
        <f t="shared" si="10"/>
        <v>0</v>
      </c>
      <c r="AJ14" s="46"/>
      <c r="AK14" s="46"/>
      <c r="AL14" s="48">
        <f t="shared" si="11"/>
        <v>0</v>
      </c>
      <c r="AM14" s="46"/>
      <c r="AN14" s="46"/>
      <c r="AO14" s="48">
        <f t="shared" si="12"/>
        <v>0</v>
      </c>
      <c r="AP14" s="46"/>
      <c r="AQ14" s="46"/>
      <c r="AR14" s="48">
        <f t="shared" si="13"/>
        <v>0</v>
      </c>
      <c r="AS14" s="46"/>
      <c r="AT14" s="46"/>
      <c r="AU14" s="36"/>
      <c r="AV14" s="46"/>
      <c r="AW14" s="31"/>
    </row>
    <row r="15" spans="1:49">
      <c r="B15" s="38"/>
      <c r="C15" s="13"/>
      <c r="D15" s="13"/>
      <c r="E15" s="48">
        <f t="shared" si="0"/>
        <v>0</v>
      </c>
      <c r="F15" s="70"/>
      <c r="G15" s="46"/>
      <c r="H15" s="48">
        <f t="shared" si="1"/>
        <v>0</v>
      </c>
      <c r="I15" s="46"/>
      <c r="J15" s="46"/>
      <c r="K15" s="48">
        <f t="shared" si="2"/>
        <v>0</v>
      </c>
      <c r="L15" s="46"/>
      <c r="M15" s="46"/>
      <c r="N15" s="48">
        <f t="shared" si="3"/>
        <v>0</v>
      </c>
      <c r="O15" s="46"/>
      <c r="P15" s="46"/>
      <c r="Q15" s="48">
        <f t="shared" si="4"/>
        <v>0</v>
      </c>
      <c r="R15" s="46"/>
      <c r="S15" s="46"/>
      <c r="T15" s="48">
        <f t="shared" si="5"/>
        <v>0</v>
      </c>
      <c r="U15" s="46"/>
      <c r="V15" s="46"/>
      <c r="W15" s="48">
        <f t="shared" si="6"/>
        <v>0</v>
      </c>
      <c r="X15" s="46"/>
      <c r="Y15" s="46"/>
      <c r="Z15" s="48">
        <f t="shared" si="7"/>
        <v>0</v>
      </c>
      <c r="AA15" s="46"/>
      <c r="AB15" s="46"/>
      <c r="AC15" s="48">
        <f t="shared" si="8"/>
        <v>0</v>
      </c>
      <c r="AD15" s="46"/>
      <c r="AE15" s="46"/>
      <c r="AF15" s="48">
        <f t="shared" si="9"/>
        <v>0</v>
      </c>
      <c r="AG15" s="46"/>
      <c r="AH15" s="46"/>
      <c r="AI15" s="48">
        <f t="shared" si="10"/>
        <v>0</v>
      </c>
      <c r="AJ15" s="46"/>
      <c r="AK15" s="46"/>
      <c r="AL15" s="48">
        <f t="shared" si="11"/>
        <v>0</v>
      </c>
      <c r="AM15" s="46"/>
      <c r="AN15" s="46"/>
      <c r="AO15" s="48">
        <f t="shared" si="12"/>
        <v>0</v>
      </c>
      <c r="AP15" s="46"/>
      <c r="AQ15" s="46"/>
      <c r="AR15" s="48">
        <f t="shared" si="13"/>
        <v>0</v>
      </c>
      <c r="AS15" s="46"/>
      <c r="AT15" s="46"/>
      <c r="AU15" s="36"/>
      <c r="AV15" s="46"/>
      <c r="AW15" s="31"/>
    </row>
    <row r="16" spans="1:49">
      <c r="B16" s="39"/>
      <c r="C16" s="19"/>
      <c r="D16" s="19"/>
      <c r="E16" s="48">
        <f t="shared" si="0"/>
        <v>0</v>
      </c>
      <c r="F16" s="46"/>
      <c r="G16" s="46"/>
      <c r="H16" s="48">
        <f t="shared" si="1"/>
        <v>0</v>
      </c>
      <c r="I16" s="46"/>
      <c r="J16" s="46"/>
      <c r="K16" s="48">
        <f t="shared" si="2"/>
        <v>0</v>
      </c>
      <c r="L16" s="46"/>
      <c r="M16" s="46"/>
      <c r="N16" s="48">
        <f t="shared" si="3"/>
        <v>0</v>
      </c>
      <c r="O16" s="46"/>
      <c r="P16" s="46"/>
      <c r="Q16" s="48">
        <f t="shared" si="4"/>
        <v>0</v>
      </c>
      <c r="R16" s="46"/>
      <c r="S16" s="46"/>
      <c r="T16" s="48">
        <f t="shared" si="5"/>
        <v>0</v>
      </c>
      <c r="U16" s="46"/>
      <c r="V16" s="46"/>
      <c r="W16" s="48">
        <f t="shared" si="6"/>
        <v>0</v>
      </c>
      <c r="X16" s="46"/>
      <c r="Y16" s="46"/>
      <c r="Z16" s="48">
        <f t="shared" si="7"/>
        <v>0</v>
      </c>
      <c r="AA16" s="46"/>
      <c r="AB16" s="46"/>
      <c r="AC16" s="48">
        <f t="shared" si="8"/>
        <v>0</v>
      </c>
      <c r="AD16" s="46"/>
      <c r="AE16" s="46"/>
      <c r="AF16" s="48">
        <f t="shared" si="9"/>
        <v>0</v>
      </c>
      <c r="AG16" s="46"/>
      <c r="AH16" s="46"/>
      <c r="AI16" s="48">
        <f t="shared" si="10"/>
        <v>0</v>
      </c>
      <c r="AJ16" s="46"/>
      <c r="AK16" s="46"/>
      <c r="AL16" s="48">
        <f t="shared" si="11"/>
        <v>0</v>
      </c>
      <c r="AM16" s="46"/>
      <c r="AN16" s="46"/>
      <c r="AO16" s="48">
        <f t="shared" si="12"/>
        <v>0</v>
      </c>
      <c r="AP16" s="46"/>
      <c r="AQ16" s="46"/>
      <c r="AR16" s="48">
        <f t="shared" si="13"/>
        <v>0</v>
      </c>
      <c r="AS16" s="46"/>
      <c r="AT16" s="46"/>
      <c r="AU16" s="36"/>
      <c r="AV16" s="46"/>
      <c r="AW16" s="31"/>
    </row>
    <row r="17" spans="1:49" ht="17.25" customHeight="1" thickBot="1">
      <c r="A17" s="17"/>
      <c r="B17" s="974" t="s">
        <v>9</v>
      </c>
      <c r="C17" s="975"/>
      <c r="D17" s="976"/>
      <c r="E17" s="34">
        <f t="shared" ref="E17" si="14">SUM(A8:A16)</f>
        <v>0</v>
      </c>
      <c r="F17" s="34">
        <f>SUM(F8:F16)</f>
        <v>0</v>
      </c>
      <c r="G17" s="34">
        <f t="shared" ref="G17:AT17" si="15">SUM(G8:G16)</f>
        <v>0</v>
      </c>
      <c r="H17" s="34">
        <f t="shared" si="15"/>
        <v>0</v>
      </c>
      <c r="I17" s="34">
        <f t="shared" si="15"/>
        <v>0</v>
      </c>
      <c r="J17" s="34">
        <f t="shared" si="15"/>
        <v>0</v>
      </c>
      <c r="K17" s="34">
        <f t="shared" si="15"/>
        <v>0</v>
      </c>
      <c r="L17" s="34">
        <f t="shared" si="15"/>
        <v>0</v>
      </c>
      <c r="M17" s="34">
        <f t="shared" si="15"/>
        <v>0</v>
      </c>
      <c r="N17" s="34">
        <f t="shared" si="15"/>
        <v>0</v>
      </c>
      <c r="O17" s="34">
        <f t="shared" si="15"/>
        <v>0</v>
      </c>
      <c r="P17" s="34">
        <f t="shared" si="15"/>
        <v>0</v>
      </c>
      <c r="Q17" s="34">
        <f t="shared" si="15"/>
        <v>0</v>
      </c>
      <c r="R17" s="34">
        <f t="shared" si="15"/>
        <v>0</v>
      </c>
      <c r="S17" s="34">
        <f t="shared" si="15"/>
        <v>0</v>
      </c>
      <c r="T17" s="34">
        <f t="shared" si="15"/>
        <v>0</v>
      </c>
      <c r="U17" s="34">
        <f t="shared" si="15"/>
        <v>0</v>
      </c>
      <c r="V17" s="34">
        <f t="shared" si="15"/>
        <v>0</v>
      </c>
      <c r="W17" s="34">
        <f t="shared" si="15"/>
        <v>0</v>
      </c>
      <c r="X17" s="34">
        <f t="shared" si="15"/>
        <v>0</v>
      </c>
      <c r="Y17" s="34">
        <f t="shared" si="15"/>
        <v>0</v>
      </c>
      <c r="Z17" s="34">
        <f t="shared" si="15"/>
        <v>0</v>
      </c>
      <c r="AA17" s="34">
        <f t="shared" si="15"/>
        <v>0</v>
      </c>
      <c r="AB17" s="34">
        <f t="shared" si="15"/>
        <v>0</v>
      </c>
      <c r="AC17" s="34">
        <f t="shared" si="15"/>
        <v>0</v>
      </c>
      <c r="AD17" s="34">
        <f t="shared" si="15"/>
        <v>0</v>
      </c>
      <c r="AE17" s="34">
        <f t="shared" si="15"/>
        <v>0</v>
      </c>
      <c r="AF17" s="34">
        <f t="shared" si="15"/>
        <v>0</v>
      </c>
      <c r="AG17" s="34">
        <f t="shared" si="15"/>
        <v>0</v>
      </c>
      <c r="AH17" s="34">
        <f t="shared" si="15"/>
        <v>0</v>
      </c>
      <c r="AI17" s="34">
        <f t="shared" si="15"/>
        <v>0</v>
      </c>
      <c r="AJ17" s="34">
        <f t="shared" si="15"/>
        <v>0</v>
      </c>
      <c r="AK17" s="34">
        <f t="shared" si="15"/>
        <v>0</v>
      </c>
      <c r="AL17" s="34">
        <f t="shared" si="15"/>
        <v>0</v>
      </c>
      <c r="AM17" s="34">
        <f t="shared" si="15"/>
        <v>0</v>
      </c>
      <c r="AN17" s="34">
        <f t="shared" si="15"/>
        <v>0</v>
      </c>
      <c r="AO17" s="34">
        <f t="shared" si="15"/>
        <v>0</v>
      </c>
      <c r="AP17" s="34">
        <f t="shared" si="15"/>
        <v>0</v>
      </c>
      <c r="AQ17" s="34">
        <f t="shared" si="15"/>
        <v>0</v>
      </c>
      <c r="AR17" s="34">
        <f t="shared" si="15"/>
        <v>0</v>
      </c>
      <c r="AS17" s="34">
        <f t="shared" si="15"/>
        <v>0</v>
      </c>
      <c r="AT17" s="34">
        <f t="shared" si="15"/>
        <v>0</v>
      </c>
      <c r="AU17" s="33" t="s">
        <v>39</v>
      </c>
      <c r="AV17" s="34" t="s">
        <v>39</v>
      </c>
      <c r="AW17" s="35" t="s">
        <v>39</v>
      </c>
    </row>
    <row r="20" spans="1:49" ht="15">
      <c r="B20" s="195" t="s">
        <v>191</v>
      </c>
    </row>
  </sheetData>
  <mergeCells count="23">
    <mergeCell ref="A4:S4"/>
    <mergeCell ref="B17:D17"/>
    <mergeCell ref="E5:G6"/>
    <mergeCell ref="H5:J6"/>
    <mergeCell ref="B5:C6"/>
    <mergeCell ref="D5:D7"/>
    <mergeCell ref="K5:M6"/>
    <mergeCell ref="N5:P6"/>
    <mergeCell ref="Q5:S6"/>
    <mergeCell ref="AW5:AW7"/>
    <mergeCell ref="T6:V6"/>
    <mergeCell ref="W6:Y6"/>
    <mergeCell ref="Z6:AB6"/>
    <mergeCell ref="AF6:AH6"/>
    <mergeCell ref="AR6:AT6"/>
    <mergeCell ref="AI6:AK6"/>
    <mergeCell ref="AL6:AN6"/>
    <mergeCell ref="AO6:AQ6"/>
    <mergeCell ref="T5:AB5"/>
    <mergeCell ref="AF5:AT5"/>
    <mergeCell ref="AC5:AE6"/>
    <mergeCell ref="AU5:AU7"/>
    <mergeCell ref="AV5:AV7"/>
  </mergeCells>
  <pageMargins left="0.7" right="0.7" top="0.75" bottom="0.75" header="0.3" footer="0.3"/>
  <pageSetup paperSize="9" orientation="portrait"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S30"/>
  <sheetViews>
    <sheetView workbookViewId="0">
      <selection activeCell="B21" sqref="B21"/>
    </sheetView>
  </sheetViews>
  <sheetFormatPr defaultRowHeight="14.4"/>
  <cols>
    <col min="1" max="1" width="4.33203125" customWidth="1"/>
    <col min="2" max="2" width="9.44140625" customWidth="1"/>
    <col min="3" max="3" width="10.6640625" customWidth="1"/>
    <col min="4" max="4" width="26.33203125" customWidth="1"/>
    <col min="5" max="5" width="37.88671875" customWidth="1"/>
    <col min="6" max="6" width="14.88671875" customWidth="1"/>
    <col min="7" max="7" width="15.6640625" customWidth="1"/>
    <col min="8" max="8" width="17" customWidth="1"/>
    <col min="9" max="9" width="16.6640625" customWidth="1"/>
    <col min="10" max="10" width="13.6640625" customWidth="1"/>
    <col min="11" max="13" width="13" customWidth="1"/>
    <col min="14" max="18" width="11.6640625" customWidth="1"/>
    <col min="19" max="19" width="7.5546875" customWidth="1"/>
    <col min="20" max="22" width="10.6640625" customWidth="1"/>
  </cols>
  <sheetData>
    <row r="1" spans="1:19" ht="15">
      <c r="A1" s="61" t="s">
        <v>67</v>
      </c>
      <c r="B1" s="62"/>
      <c r="C1" s="62"/>
      <c r="D1" s="62"/>
      <c r="E1" s="62"/>
      <c r="F1" s="62"/>
      <c r="G1" s="62"/>
      <c r="H1" s="62"/>
      <c r="I1" s="62"/>
      <c r="J1" s="62"/>
      <c r="K1" s="60"/>
    </row>
    <row r="2" spans="1:19">
      <c r="A2" s="63"/>
      <c r="B2" s="63"/>
      <c r="C2" s="63"/>
      <c r="D2" s="63"/>
      <c r="E2" s="63"/>
      <c r="F2" s="63"/>
      <c r="G2" s="63"/>
      <c r="H2" s="63"/>
      <c r="I2" s="63"/>
      <c r="J2" s="63"/>
    </row>
    <row r="3" spans="1:19" s="51" customFormat="1" ht="18">
      <c r="A3" s="61" t="s">
        <v>64</v>
      </c>
      <c r="B3" s="64"/>
      <c r="C3" s="64"/>
      <c r="D3" s="64"/>
      <c r="E3" s="64"/>
      <c r="F3" s="64"/>
      <c r="G3" s="64"/>
      <c r="H3" s="64"/>
      <c r="I3" s="64"/>
      <c r="J3" s="64"/>
      <c r="K3" s="54"/>
      <c r="L3" s="54"/>
      <c r="M3" s="54"/>
    </row>
    <row r="4" spans="1:19" ht="18">
      <c r="A4" s="2"/>
      <c r="B4" s="16"/>
      <c r="C4" s="16"/>
      <c r="D4" s="16"/>
      <c r="E4" s="16"/>
      <c r="F4" s="16"/>
      <c r="G4" s="16"/>
      <c r="H4" s="16"/>
      <c r="I4" s="16"/>
      <c r="J4" s="16"/>
      <c r="K4" s="16"/>
      <c r="L4" s="16"/>
      <c r="M4" s="16"/>
    </row>
    <row r="5" spans="1:19">
      <c r="A5" s="60"/>
      <c r="B5" s="986"/>
      <c r="C5" s="986"/>
      <c r="D5" s="986"/>
      <c r="E5" s="986"/>
      <c r="F5" s="986"/>
      <c r="G5" s="986"/>
      <c r="H5" s="986"/>
      <c r="I5" s="986"/>
      <c r="J5" s="986"/>
      <c r="K5" s="986"/>
      <c r="L5" s="986"/>
      <c r="M5" s="986"/>
      <c r="N5" s="986"/>
      <c r="O5" s="986"/>
      <c r="P5" s="986"/>
      <c r="Q5" s="981" t="s">
        <v>60</v>
      </c>
      <c r="R5" s="981"/>
      <c r="S5" s="981"/>
    </row>
    <row r="6" spans="1:19" ht="33" customHeight="1">
      <c r="B6" s="775" t="s">
        <v>5</v>
      </c>
      <c r="C6" s="775"/>
      <c r="D6" s="775" t="s">
        <v>45</v>
      </c>
      <c r="E6" s="921" t="s">
        <v>58</v>
      </c>
      <c r="F6" s="775" t="s">
        <v>61</v>
      </c>
      <c r="G6" s="775" t="s">
        <v>62</v>
      </c>
      <c r="H6" s="775" t="s">
        <v>105</v>
      </c>
      <c r="I6" s="775" t="s">
        <v>106</v>
      </c>
      <c r="J6" s="775" t="s">
        <v>17</v>
      </c>
      <c r="K6" s="775" t="s">
        <v>13</v>
      </c>
      <c r="L6" s="775"/>
      <c r="M6" s="775"/>
      <c r="N6" s="780" t="s">
        <v>111</v>
      </c>
      <c r="O6" s="781"/>
      <c r="P6" s="781"/>
      <c r="Q6" s="781"/>
      <c r="R6" s="782"/>
      <c r="S6" s="979" t="s">
        <v>63</v>
      </c>
    </row>
    <row r="7" spans="1:19" ht="23.25" customHeight="1">
      <c r="B7" s="775"/>
      <c r="C7" s="775"/>
      <c r="D7" s="775"/>
      <c r="E7" s="985"/>
      <c r="F7" s="775"/>
      <c r="G7" s="775"/>
      <c r="H7" s="775"/>
      <c r="I7" s="775"/>
      <c r="J7" s="775"/>
      <c r="K7" s="69" t="s">
        <v>55</v>
      </c>
      <c r="L7" s="69" t="s">
        <v>73</v>
      </c>
      <c r="M7" s="41" t="s">
        <v>110</v>
      </c>
      <c r="N7" s="55" t="s">
        <v>25</v>
      </c>
      <c r="O7" s="55" t="s">
        <v>26</v>
      </c>
      <c r="P7" s="55" t="s">
        <v>27</v>
      </c>
      <c r="Q7" s="55" t="s">
        <v>57</v>
      </c>
      <c r="R7" s="55" t="s">
        <v>29</v>
      </c>
      <c r="S7" s="980"/>
    </row>
    <row r="8" spans="1:19" ht="110.25" customHeight="1">
      <c r="B8" s="40" t="s">
        <v>1</v>
      </c>
      <c r="C8" s="40" t="s">
        <v>20</v>
      </c>
      <c r="D8" s="775"/>
      <c r="E8" s="985"/>
      <c r="F8" s="52"/>
      <c r="G8" s="52"/>
      <c r="H8" s="44" t="s">
        <v>9</v>
      </c>
      <c r="I8" s="44" t="s">
        <v>9</v>
      </c>
      <c r="J8" s="50" t="s">
        <v>9</v>
      </c>
      <c r="K8" s="44" t="s">
        <v>9</v>
      </c>
      <c r="L8" s="44" t="s">
        <v>9</v>
      </c>
      <c r="M8" s="44" t="s">
        <v>9</v>
      </c>
      <c r="N8" s="50" t="s">
        <v>9</v>
      </c>
      <c r="O8" s="50" t="s">
        <v>9</v>
      </c>
      <c r="P8" s="50" t="s">
        <v>9</v>
      </c>
      <c r="Q8" s="50" t="s">
        <v>9</v>
      </c>
      <c r="R8" s="50" t="s">
        <v>9</v>
      </c>
      <c r="S8" s="980"/>
    </row>
    <row r="9" spans="1:19">
      <c r="B9" s="13"/>
      <c r="C9" s="13"/>
      <c r="D9" s="13"/>
      <c r="E9" s="13"/>
      <c r="F9" s="13"/>
      <c r="G9" s="13"/>
      <c r="H9" s="43">
        <f>+H10</f>
        <v>0</v>
      </c>
      <c r="I9" s="43">
        <f t="shared" ref="I9:R11" si="0">+I10</f>
        <v>0</v>
      </c>
      <c r="J9" s="48">
        <f t="shared" si="0"/>
        <v>0</v>
      </c>
      <c r="K9" s="43">
        <f t="shared" si="0"/>
        <v>0</v>
      </c>
      <c r="L9" s="43">
        <f t="shared" si="0"/>
        <v>0</v>
      </c>
      <c r="M9" s="43">
        <f t="shared" si="0"/>
        <v>0</v>
      </c>
      <c r="N9" s="48">
        <f t="shared" si="0"/>
        <v>0</v>
      </c>
      <c r="O9" s="48">
        <f t="shared" si="0"/>
        <v>0</v>
      </c>
      <c r="P9" s="48">
        <f t="shared" si="0"/>
        <v>0</v>
      </c>
      <c r="Q9" s="48">
        <f t="shared" si="0"/>
        <v>0</v>
      </c>
      <c r="R9" s="48">
        <f t="shared" si="0"/>
        <v>0</v>
      </c>
      <c r="S9" s="56"/>
    </row>
    <row r="10" spans="1:19" ht="33.75" customHeight="1">
      <c r="B10" s="13"/>
      <c r="C10" s="13"/>
      <c r="D10" s="13"/>
      <c r="E10" s="13"/>
      <c r="F10" s="13"/>
      <c r="G10" s="13"/>
      <c r="H10" s="43">
        <f>+H11</f>
        <v>0</v>
      </c>
      <c r="I10" s="43">
        <f t="shared" si="0"/>
        <v>0</v>
      </c>
      <c r="J10" s="48">
        <f t="shared" si="0"/>
        <v>0</v>
      </c>
      <c r="K10" s="43">
        <f t="shared" si="0"/>
        <v>0</v>
      </c>
      <c r="L10" s="43">
        <f t="shared" si="0"/>
        <v>0</v>
      </c>
      <c r="M10" s="43">
        <f t="shared" si="0"/>
        <v>0</v>
      </c>
      <c r="N10" s="48">
        <f t="shared" si="0"/>
        <v>0</v>
      </c>
      <c r="O10" s="48">
        <f t="shared" si="0"/>
        <v>0</v>
      </c>
      <c r="P10" s="48">
        <f t="shared" si="0"/>
        <v>0</v>
      </c>
      <c r="Q10" s="48">
        <f t="shared" si="0"/>
        <v>0</v>
      </c>
      <c r="R10" s="48">
        <f t="shared" si="0"/>
        <v>0</v>
      </c>
      <c r="S10" s="56"/>
    </row>
    <row r="11" spans="1:19">
      <c r="B11" s="13"/>
      <c r="C11" s="13"/>
      <c r="D11" s="13"/>
      <c r="E11" s="13"/>
      <c r="F11" s="13"/>
      <c r="G11" s="13"/>
      <c r="H11" s="43">
        <f>+H12</f>
        <v>0</v>
      </c>
      <c r="I11" s="43">
        <f t="shared" si="0"/>
        <v>0</v>
      </c>
      <c r="J11" s="48">
        <f t="shared" si="0"/>
        <v>0</v>
      </c>
      <c r="K11" s="43">
        <f t="shared" si="0"/>
        <v>0</v>
      </c>
      <c r="L11" s="43">
        <f t="shared" si="0"/>
        <v>0</v>
      </c>
      <c r="M11" s="43">
        <f t="shared" si="0"/>
        <v>0</v>
      </c>
      <c r="N11" s="48">
        <f t="shared" si="0"/>
        <v>0</v>
      </c>
      <c r="O11" s="48">
        <f t="shared" si="0"/>
        <v>0</v>
      </c>
      <c r="P11" s="48">
        <f t="shared" si="0"/>
        <v>0</v>
      </c>
      <c r="Q11" s="48">
        <f t="shared" si="0"/>
        <v>0</v>
      </c>
      <c r="R11" s="48">
        <f t="shared" si="0"/>
        <v>0</v>
      </c>
      <c r="S11" s="56"/>
    </row>
    <row r="12" spans="1:19">
      <c r="B12" s="13"/>
      <c r="C12" s="13"/>
      <c r="D12" s="13"/>
      <c r="E12" s="13"/>
      <c r="F12" s="13"/>
      <c r="G12" s="13"/>
      <c r="H12" s="43">
        <v>0</v>
      </c>
      <c r="I12" s="43">
        <v>0</v>
      </c>
      <c r="J12" s="48">
        <v>0</v>
      </c>
      <c r="K12" s="43">
        <v>0</v>
      </c>
      <c r="L12" s="43">
        <v>0</v>
      </c>
      <c r="M12" s="43">
        <v>0</v>
      </c>
      <c r="N12" s="48">
        <v>0</v>
      </c>
      <c r="O12" s="48">
        <v>0</v>
      </c>
      <c r="P12" s="48">
        <v>0</v>
      </c>
      <c r="Q12" s="48">
        <v>0</v>
      </c>
      <c r="R12" s="48">
        <f>+N12+O12+P12+Q12</f>
        <v>0</v>
      </c>
      <c r="S12" s="56"/>
    </row>
    <row r="13" spans="1:19">
      <c r="B13" s="13"/>
      <c r="C13" s="13"/>
      <c r="D13" s="13"/>
      <c r="E13" s="13"/>
      <c r="F13" s="13"/>
      <c r="G13" s="13"/>
      <c r="H13" s="43"/>
      <c r="I13" s="43"/>
      <c r="J13" s="48"/>
      <c r="K13" s="43"/>
      <c r="L13" s="43"/>
      <c r="M13" s="43"/>
      <c r="N13" s="48"/>
      <c r="O13" s="48"/>
      <c r="P13" s="48"/>
      <c r="Q13" s="48"/>
      <c r="R13" s="48"/>
      <c r="S13" s="56"/>
    </row>
    <row r="14" spans="1:19">
      <c r="B14" s="13"/>
      <c r="C14" s="13"/>
      <c r="D14" s="13"/>
      <c r="E14" s="13"/>
      <c r="F14" s="13"/>
      <c r="G14" s="13"/>
      <c r="H14" s="43"/>
      <c r="I14" s="43"/>
      <c r="J14" s="48"/>
      <c r="K14" s="43"/>
      <c r="L14" s="43"/>
      <c r="M14" s="43"/>
      <c r="N14" s="48"/>
      <c r="O14" s="48"/>
      <c r="P14" s="48"/>
      <c r="Q14" s="48"/>
      <c r="R14" s="48"/>
      <c r="S14" s="56"/>
    </row>
    <row r="15" spans="1:19">
      <c r="B15" s="13"/>
      <c r="C15" s="13"/>
      <c r="D15" s="13"/>
      <c r="E15" s="13"/>
      <c r="F15" s="13"/>
      <c r="G15" s="13"/>
      <c r="H15" s="43"/>
      <c r="I15" s="43"/>
      <c r="J15" s="48"/>
      <c r="K15" s="43"/>
      <c r="L15" s="43"/>
      <c r="M15" s="43"/>
      <c r="N15" s="48"/>
      <c r="O15" s="48"/>
      <c r="P15" s="48"/>
      <c r="Q15" s="48"/>
      <c r="R15" s="48"/>
      <c r="S15" s="56"/>
    </row>
    <row r="16" spans="1:19">
      <c r="B16" s="13"/>
      <c r="C16" s="13"/>
      <c r="D16" s="13"/>
      <c r="E16" s="13"/>
      <c r="F16" s="13"/>
      <c r="G16" s="13"/>
      <c r="H16" s="43"/>
      <c r="I16" s="43"/>
      <c r="J16" s="48"/>
      <c r="K16" s="43"/>
      <c r="L16" s="43"/>
      <c r="M16" s="43"/>
      <c r="N16" s="48"/>
      <c r="O16" s="48"/>
      <c r="P16" s="48"/>
      <c r="Q16" s="48"/>
      <c r="R16" s="48"/>
      <c r="S16" s="56"/>
    </row>
    <row r="17" spans="1:19">
      <c r="B17" s="19"/>
      <c r="C17" s="19"/>
      <c r="D17" s="19"/>
      <c r="E17" s="19"/>
      <c r="F17" s="19"/>
      <c r="G17" s="19"/>
      <c r="H17" s="43"/>
      <c r="I17" s="43"/>
      <c r="J17" s="48"/>
      <c r="K17" s="43"/>
      <c r="L17" s="43"/>
      <c r="M17" s="43"/>
      <c r="N17" s="48"/>
      <c r="O17" s="48"/>
      <c r="P17" s="48"/>
      <c r="Q17" s="48"/>
      <c r="R17" s="48"/>
      <c r="S17" s="56"/>
    </row>
    <row r="18" spans="1:19" ht="17.25" customHeight="1">
      <c r="A18" s="17"/>
      <c r="B18" s="982" t="s">
        <v>9</v>
      </c>
      <c r="C18" s="983"/>
      <c r="D18" s="984"/>
      <c r="E18" s="42"/>
      <c r="F18" s="47"/>
      <c r="G18" s="47"/>
      <c r="H18" s="20"/>
      <c r="I18" s="20"/>
      <c r="J18" s="20"/>
      <c r="K18" s="20"/>
      <c r="L18" s="20"/>
      <c r="M18" s="20"/>
      <c r="N18" s="48"/>
      <c r="O18" s="20"/>
      <c r="P18" s="20"/>
      <c r="Q18" s="20"/>
      <c r="R18" s="20"/>
      <c r="S18" s="20" t="s">
        <v>39</v>
      </c>
    </row>
    <row r="21" spans="1:19" ht="15">
      <c r="B21" s="195" t="s">
        <v>191</v>
      </c>
    </row>
    <row r="24" spans="1:19" ht="57" customHeight="1"/>
    <row r="25" spans="1:19" ht="36.75" customHeight="1"/>
    <row r="29" spans="1:19" ht="15" customHeight="1"/>
    <row r="30" spans="1:19" ht="15" customHeight="1"/>
  </sheetData>
  <mergeCells count="14">
    <mergeCell ref="S6:S8"/>
    <mergeCell ref="Q5:S5"/>
    <mergeCell ref="J6:J7"/>
    <mergeCell ref="B18:D18"/>
    <mergeCell ref="N6:R6"/>
    <mergeCell ref="E6:E8"/>
    <mergeCell ref="B6:C7"/>
    <mergeCell ref="D6:D8"/>
    <mergeCell ref="H6:H7"/>
    <mergeCell ref="I6:I7"/>
    <mergeCell ref="K6:M6"/>
    <mergeCell ref="G6:G7"/>
    <mergeCell ref="B5:P5"/>
    <mergeCell ref="F6:F7"/>
  </mergeCells>
  <pageMargins left="0.7" right="0.7" top="0.75" bottom="0.75" header="0.3" footer="0.3"/>
  <pageSetup paperSize="9" orientation="portrait" verticalDpi="12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16"/>
  <sheetViews>
    <sheetView workbookViewId="0">
      <selection activeCell="H13" sqref="H13"/>
    </sheetView>
  </sheetViews>
  <sheetFormatPr defaultColWidth="9.109375" defaultRowHeight="15.6"/>
  <cols>
    <col min="1" max="1" width="4.88671875" style="71" customWidth="1"/>
    <col min="2" max="2" width="92.6640625" style="71" customWidth="1"/>
    <col min="3" max="3" width="14.33203125" style="71" customWidth="1"/>
    <col min="4" max="4" width="12.33203125" style="71" customWidth="1"/>
    <col min="5" max="5" width="12.6640625" style="71" customWidth="1"/>
    <col min="6" max="6" width="12.5546875" style="71" customWidth="1"/>
    <col min="7" max="7" width="8.44140625" style="71" customWidth="1"/>
    <col min="8" max="8" width="14.33203125" style="71" customWidth="1"/>
    <col min="9" max="11" width="9.109375" style="71"/>
    <col min="12" max="12" width="21" style="71" customWidth="1"/>
    <col min="13" max="16" width="9.109375" style="71"/>
    <col min="17" max="17" width="0" style="71" hidden="1" customWidth="1"/>
    <col min="18" max="16384" width="9.109375" style="71"/>
  </cols>
  <sheetData>
    <row r="1" spans="1:12" ht="30" customHeight="1">
      <c r="A1" s="2" t="s">
        <v>46</v>
      </c>
      <c r="B1" s="7"/>
      <c r="C1" s="2"/>
      <c r="D1" s="2"/>
      <c r="E1" s="2"/>
      <c r="F1" s="2"/>
      <c r="G1" s="2"/>
      <c r="H1" s="2"/>
      <c r="I1" s="2"/>
      <c r="J1" s="2"/>
      <c r="K1" s="2"/>
      <c r="L1" s="2"/>
    </row>
    <row r="2" spans="1:12" s="3" customFormat="1" ht="15.75" customHeight="1"/>
    <row r="3" spans="1:12" ht="38.25" customHeight="1">
      <c r="A3" s="931" t="s">
        <v>336</v>
      </c>
      <c r="B3" s="931"/>
      <c r="C3" s="931"/>
      <c r="D3" s="931"/>
      <c r="E3" s="931"/>
      <c r="F3" s="931"/>
    </row>
    <row r="4" spans="1:12">
      <c r="C4" s="22"/>
      <c r="D4" s="22"/>
      <c r="E4" s="22" t="s">
        <v>11</v>
      </c>
    </row>
    <row r="5" spans="1:12" ht="39.6">
      <c r="B5" s="26"/>
      <c r="C5" s="25" t="s">
        <v>112</v>
      </c>
      <c r="D5" s="23" t="s">
        <v>54</v>
      </c>
      <c r="E5" s="23" t="s">
        <v>72</v>
      </c>
      <c r="F5" s="23" t="s">
        <v>97</v>
      </c>
    </row>
    <row r="6" spans="1:12" ht="26.4">
      <c r="B6" s="155" t="s">
        <v>113</v>
      </c>
      <c r="C6" s="23" t="s">
        <v>10</v>
      </c>
      <c r="D6" s="24">
        <v>0</v>
      </c>
      <c r="E6" s="24">
        <v>0</v>
      </c>
      <c r="F6" s="24">
        <v>0</v>
      </c>
    </row>
    <row r="7" spans="1:12" s="72" customFormat="1" ht="26.4">
      <c r="B7" s="156" t="s">
        <v>192</v>
      </c>
      <c r="C7" s="464">
        <f>'Հ3 Մաս 1'!H8</f>
        <v>15699341.983999997</v>
      </c>
      <c r="D7" s="24">
        <v>0</v>
      </c>
      <c r="E7" s="24">
        <v>0</v>
      </c>
      <c r="F7" s="21" t="s">
        <v>10</v>
      </c>
    </row>
    <row r="8" spans="1:12">
      <c r="B8" s="156" t="s">
        <v>335</v>
      </c>
      <c r="C8" s="23" t="s">
        <v>10</v>
      </c>
      <c r="D8" s="462">
        <f>D9+D10+D11</f>
        <v>14427342.469573351</v>
      </c>
      <c r="E8" s="462">
        <f t="shared" ref="E8:F8" si="0">E9+E10+E11</f>
        <v>18024165.007124826</v>
      </c>
      <c r="F8" s="23">
        <f t="shared" si="0"/>
        <v>17796408.233343497</v>
      </c>
      <c r="I8" s="766"/>
    </row>
    <row r="9" spans="1:12" ht="26.4">
      <c r="B9" s="157" t="s">
        <v>193</v>
      </c>
      <c r="C9" s="23" t="s">
        <v>10</v>
      </c>
      <c r="D9" s="24">
        <f>'Հ3 Մաս 1'!J8</f>
        <v>14395785.06957335</v>
      </c>
      <c r="E9" s="24">
        <f>'Հ3 Մաս 1'!K8</f>
        <v>17992607.607124828</v>
      </c>
      <c r="F9" s="24">
        <f>'Հ3 Մաս 1'!L8</f>
        <v>17764850.833343498</v>
      </c>
    </row>
    <row r="10" spans="1:12" s="72" customFormat="1">
      <c r="B10" s="157" t="s">
        <v>21</v>
      </c>
      <c r="C10" s="23" t="s">
        <v>10</v>
      </c>
      <c r="D10" s="24">
        <v>0</v>
      </c>
      <c r="E10" s="24">
        <v>0</v>
      </c>
      <c r="F10" s="24">
        <v>0</v>
      </c>
    </row>
    <row r="11" spans="1:12">
      <c r="B11" s="157" t="s">
        <v>22</v>
      </c>
      <c r="C11" s="23" t="s">
        <v>10</v>
      </c>
      <c r="D11" s="24">
        <f>'Հ3 Մաս 1'!M47+'Հ3 Մաս 1'!M48</f>
        <v>31557.4</v>
      </c>
      <c r="E11" s="24">
        <f>'Հ3 Մաս 1'!N47+'Հ3 Մաս 1'!N48</f>
        <v>31557.4</v>
      </c>
      <c r="F11" s="24">
        <f>'Հ3 Մաս 1'!O47+'Հ3 Մաս 1'!O48</f>
        <v>31557.4</v>
      </c>
    </row>
    <row r="12" spans="1:12">
      <c r="B12" s="156" t="s">
        <v>194</v>
      </c>
      <c r="C12" s="23" t="s">
        <v>10</v>
      </c>
      <c r="D12" s="757">
        <f>D8-C7</f>
        <v>-1271999.5144266468</v>
      </c>
      <c r="E12" s="462">
        <f>E8-C7</f>
        <v>2324823.0231248289</v>
      </c>
      <c r="F12" s="23">
        <f>F8-C7</f>
        <v>2097066.2493434995</v>
      </c>
    </row>
    <row r="13" spans="1:12" ht="26.4">
      <c r="B13" s="156" t="s">
        <v>195</v>
      </c>
      <c r="C13" s="23" t="s">
        <v>10</v>
      </c>
      <c r="D13" s="463">
        <f>D8-D6</f>
        <v>14427342.469573351</v>
      </c>
      <c r="E13" s="462">
        <f>E8-E6</f>
        <v>18024165.007124826</v>
      </c>
      <c r="F13" s="23">
        <f t="shared" ref="F13" si="1">F8-F6</f>
        <v>17796408.233343497</v>
      </c>
    </row>
    <row r="14" spans="1:12" ht="45.75" customHeight="1"/>
    <row r="15" spans="1:12">
      <c r="B15" s="195" t="s">
        <v>337</v>
      </c>
    </row>
    <row r="16" spans="1:12">
      <c r="B16" s="73"/>
    </row>
  </sheetData>
  <mergeCells count="1">
    <mergeCell ref="A3:F3"/>
  </mergeCells>
  <pageMargins left="0.18" right="0.23" top="0.75" bottom="0.75" header="0.3" footer="0.3"/>
  <pageSetup scale="8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topLeftCell="C7" workbookViewId="0">
      <selection activeCell="N9" sqref="N9"/>
    </sheetView>
  </sheetViews>
  <sheetFormatPr defaultColWidth="9.109375" defaultRowHeight="15.6"/>
  <cols>
    <col min="1" max="1" width="9.109375" style="71"/>
    <col min="2" max="2" width="13.5546875" style="71" customWidth="1"/>
    <col min="3" max="3" width="11.44140625" style="71" customWidth="1"/>
    <col min="4" max="4" width="13" style="71" customWidth="1"/>
    <col min="5" max="5" width="11.44140625" style="71" customWidth="1"/>
    <col min="6" max="6" width="9" style="71" customWidth="1"/>
    <col min="7" max="7" width="8.5546875" style="71" customWidth="1"/>
    <col min="8" max="8" width="11.5546875" style="71" customWidth="1"/>
    <col min="9" max="9" width="26.5546875" style="71" customWidth="1"/>
    <col min="10" max="10" width="26.6640625" style="71" customWidth="1"/>
    <col min="11" max="11" width="16.44140625" style="71" customWidth="1"/>
    <col min="12" max="15" width="20.109375" style="71" customWidth="1"/>
    <col min="16" max="16" width="16.44140625" style="71" customWidth="1"/>
    <col min="17" max="17" width="18.109375" style="71" customWidth="1"/>
    <col min="18" max="18" width="15.33203125" style="71" customWidth="1"/>
    <col min="19" max="19" width="15.6640625" style="71" customWidth="1"/>
    <col min="20" max="20" width="10.6640625" style="71" customWidth="1"/>
    <col min="21" max="21" width="11.44140625" style="71" customWidth="1"/>
    <col min="22" max="22" width="9.109375" style="71"/>
    <col min="23" max="23" width="14.88671875" style="71" hidden="1" customWidth="1"/>
    <col min="24" max="16384" width="9.109375" style="71"/>
  </cols>
  <sheetData>
    <row r="1" spans="1:16">
      <c r="A1" s="2" t="s">
        <v>176</v>
      </c>
    </row>
    <row r="2" spans="1:16" ht="18">
      <c r="A2" s="118"/>
    </row>
    <row r="3" spans="1:16">
      <c r="A3" s="2" t="s">
        <v>268</v>
      </c>
    </row>
    <row r="5" spans="1:16" ht="28.2" customHeight="1">
      <c r="B5" s="119" t="s">
        <v>726</v>
      </c>
      <c r="E5" s="453" t="s">
        <v>640</v>
      </c>
    </row>
    <row r="7" spans="1:16" ht="42" customHeight="1">
      <c r="B7" s="779" t="s">
        <v>5</v>
      </c>
      <c r="C7" s="779"/>
      <c r="D7" s="775" t="s">
        <v>124</v>
      </c>
      <c r="E7" s="775"/>
      <c r="F7" s="780" t="s">
        <v>123</v>
      </c>
      <c r="G7" s="781"/>
      <c r="H7" s="782"/>
      <c r="I7" s="773" t="s">
        <v>175</v>
      </c>
      <c r="J7" s="773" t="s">
        <v>174</v>
      </c>
      <c r="K7" s="773" t="s">
        <v>180</v>
      </c>
      <c r="L7" s="773" t="s">
        <v>181</v>
      </c>
      <c r="M7" s="775" t="s">
        <v>122</v>
      </c>
      <c r="N7" s="773" t="s">
        <v>121</v>
      </c>
      <c r="O7" s="773" t="s">
        <v>173</v>
      </c>
      <c r="P7" s="775" t="s">
        <v>183</v>
      </c>
    </row>
    <row r="8" spans="1:16" ht="22.5" customHeight="1">
      <c r="B8" s="467" t="s">
        <v>1</v>
      </c>
      <c r="C8" s="467" t="s">
        <v>20</v>
      </c>
      <c r="D8" s="465" t="s">
        <v>120</v>
      </c>
      <c r="E8" s="467" t="s">
        <v>20</v>
      </c>
      <c r="F8" s="467" t="s">
        <v>54</v>
      </c>
      <c r="G8" s="467" t="s">
        <v>72</v>
      </c>
      <c r="H8" s="467" t="s">
        <v>97</v>
      </c>
      <c r="I8" s="774"/>
      <c r="J8" s="774"/>
      <c r="K8" s="774"/>
      <c r="L8" s="774"/>
      <c r="M8" s="775"/>
      <c r="N8" s="774"/>
      <c r="O8" s="774"/>
      <c r="P8" s="775"/>
    </row>
    <row r="9" spans="1:16" ht="313.2">
      <c r="B9" s="468"/>
      <c r="C9" s="468"/>
      <c r="D9" s="468" t="s">
        <v>720</v>
      </c>
      <c r="E9" s="468"/>
      <c r="F9" s="70">
        <v>779529.1</v>
      </c>
      <c r="G9" s="70">
        <v>560000</v>
      </c>
      <c r="H9" s="70">
        <v>1000000</v>
      </c>
      <c r="I9" s="468" t="s">
        <v>721</v>
      </c>
      <c r="J9" s="468" t="s">
        <v>729</v>
      </c>
      <c r="K9" s="468"/>
      <c r="L9" s="468" t="s">
        <v>722</v>
      </c>
      <c r="M9" s="468">
        <v>2027</v>
      </c>
      <c r="N9" s="468" t="s">
        <v>723</v>
      </c>
      <c r="O9" s="468" t="s">
        <v>724</v>
      </c>
      <c r="P9" s="468"/>
    </row>
    <row r="10" spans="1:16">
      <c r="B10" s="70"/>
      <c r="C10" s="70"/>
      <c r="D10" s="70"/>
      <c r="E10" s="70"/>
      <c r="F10" s="70"/>
      <c r="G10" s="70"/>
      <c r="H10" s="70"/>
      <c r="I10" s="70"/>
      <c r="J10" s="70"/>
      <c r="K10" s="70"/>
      <c r="L10" s="70"/>
      <c r="M10" s="70"/>
      <c r="N10" s="70"/>
      <c r="O10" s="70"/>
      <c r="P10" s="70"/>
    </row>
    <row r="11" spans="1:16">
      <c r="B11" s="70"/>
      <c r="C11" s="70"/>
      <c r="D11" s="70"/>
      <c r="E11" s="70"/>
      <c r="F11" s="70"/>
      <c r="G11" s="70"/>
      <c r="H11" s="70"/>
      <c r="I11" s="70"/>
      <c r="J11" s="70"/>
      <c r="K11" s="70"/>
      <c r="L11" s="70"/>
      <c r="M11" s="70"/>
      <c r="N11" s="70"/>
      <c r="O11" s="70"/>
      <c r="P11" s="70"/>
    </row>
    <row r="12" spans="1:16">
      <c r="B12" s="70" t="s">
        <v>119</v>
      </c>
      <c r="C12" s="70"/>
      <c r="D12" s="70"/>
      <c r="E12" s="70"/>
      <c r="F12" s="151"/>
      <c r="G12" s="151"/>
      <c r="H12" s="151"/>
      <c r="I12" s="70"/>
      <c r="J12" s="70"/>
      <c r="K12" s="151"/>
      <c r="L12" s="151"/>
      <c r="M12" s="151"/>
      <c r="N12" s="151"/>
      <c r="O12" s="151"/>
      <c r="P12" s="70"/>
    </row>
    <row r="13" spans="1:16" ht="26.25" customHeight="1">
      <c r="B13" s="70" t="s">
        <v>9</v>
      </c>
      <c r="C13" s="70"/>
      <c r="D13" s="70"/>
      <c r="E13" s="70"/>
      <c r="F13" s="151"/>
      <c r="G13" s="151"/>
      <c r="H13" s="151"/>
      <c r="I13" s="70"/>
      <c r="J13" s="70"/>
      <c r="K13" s="151"/>
      <c r="L13" s="151"/>
      <c r="M13" s="151"/>
      <c r="N13" s="151"/>
      <c r="O13" s="151"/>
      <c r="P13" s="70"/>
    </row>
    <row r="14" spans="1:16" hidden="1">
      <c r="B14" s="776" t="s">
        <v>9</v>
      </c>
      <c r="C14" s="777"/>
      <c r="D14" s="777"/>
      <c r="E14" s="778"/>
      <c r="F14" s="466">
        <f>SUM(F9:F13)</f>
        <v>779529.1</v>
      </c>
      <c r="G14" s="466">
        <f>SUM(G9:G13)</f>
        <v>560000</v>
      </c>
      <c r="H14" s="466">
        <f>SUM(H9:H13)</f>
        <v>1000000</v>
      </c>
      <c r="I14" s="117" t="s">
        <v>39</v>
      </c>
      <c r="J14" s="117" t="s">
        <v>39</v>
      </c>
      <c r="K14" s="117" t="s">
        <v>39</v>
      </c>
      <c r="L14" s="117" t="s">
        <v>39</v>
      </c>
      <c r="M14" s="117"/>
      <c r="N14" s="117"/>
      <c r="O14" s="117"/>
      <c r="P14" s="117" t="s">
        <v>39</v>
      </c>
    </row>
    <row r="17" spans="1:2">
      <c r="B17" s="384" t="s">
        <v>189</v>
      </c>
    </row>
    <row r="18" spans="1:2">
      <c r="B18" s="446" t="s">
        <v>177</v>
      </c>
    </row>
    <row r="19" spans="1:2">
      <c r="A19" s="158" t="s">
        <v>119</v>
      </c>
      <c r="B19" s="446" t="s">
        <v>178</v>
      </c>
    </row>
  </sheetData>
  <mergeCells count="12">
    <mergeCell ref="J7:J8"/>
    <mergeCell ref="K7:K8"/>
    <mergeCell ref="B14:E14"/>
    <mergeCell ref="B7:C7"/>
    <mergeCell ref="D7:E7"/>
    <mergeCell ref="F7:H7"/>
    <mergeCell ref="I7:I8"/>
    <mergeCell ref="L7:L8"/>
    <mergeCell ref="M7:M8"/>
    <mergeCell ref="N7:N8"/>
    <mergeCell ref="O7:O8"/>
    <mergeCell ref="P7:P8"/>
  </mergeCells>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workbookViewId="0">
      <selection activeCell="G27" sqref="G27"/>
    </sheetView>
  </sheetViews>
  <sheetFormatPr defaultRowHeight="14.4"/>
  <cols>
    <col min="2" max="2" width="16.33203125" customWidth="1"/>
    <col min="3" max="3" width="18.44140625" customWidth="1"/>
    <col min="4" max="4" width="30.6640625" customWidth="1"/>
    <col min="8" max="8" width="38" customWidth="1"/>
  </cols>
  <sheetData>
    <row r="1" spans="1:15" ht="32.25" customHeight="1">
      <c r="A1" s="931" t="s">
        <v>309</v>
      </c>
      <c r="B1" s="931"/>
      <c r="C1" s="931"/>
      <c r="D1" s="931"/>
      <c r="E1" s="931"/>
      <c r="F1" s="931"/>
      <c r="G1" s="931"/>
      <c r="H1" s="931"/>
      <c r="I1" s="2"/>
      <c r="J1" s="2"/>
      <c r="K1" s="2"/>
      <c r="L1" s="2"/>
      <c r="M1" s="2"/>
      <c r="N1" s="2"/>
      <c r="O1" s="2"/>
    </row>
    <row r="2" spans="1:15" ht="17.25" customHeight="1"/>
    <row r="3" spans="1:15">
      <c r="B3" s="988" t="s">
        <v>310</v>
      </c>
      <c r="C3" s="988"/>
      <c r="D3" s="989"/>
      <c r="E3" s="989"/>
      <c r="F3" s="989"/>
      <c r="G3" s="989"/>
      <c r="H3" s="989"/>
    </row>
    <row r="4" spans="1:15">
      <c r="B4" s="988" t="s">
        <v>311</v>
      </c>
      <c r="C4" s="988"/>
      <c r="D4" s="989"/>
      <c r="E4" s="989"/>
      <c r="F4" s="989"/>
      <c r="G4" s="989"/>
      <c r="H4" s="989"/>
    </row>
    <row r="5" spans="1:15">
      <c r="B5" s="988" t="s">
        <v>312</v>
      </c>
      <c r="C5" s="988"/>
      <c r="D5" s="989"/>
      <c r="E5" s="989"/>
      <c r="F5" s="989"/>
      <c r="G5" s="989"/>
      <c r="H5" s="989"/>
    </row>
    <row r="6" spans="1:15">
      <c r="B6" s="988" t="s">
        <v>313</v>
      </c>
      <c r="C6" s="988"/>
      <c r="D6" s="989"/>
      <c r="E6" s="989"/>
      <c r="F6" s="989"/>
      <c r="G6" s="989"/>
      <c r="H6" s="989"/>
    </row>
    <row r="9" spans="1:15" ht="15">
      <c r="A9" s="2" t="s">
        <v>30</v>
      </c>
    </row>
    <row r="10" spans="1:15" ht="15">
      <c r="B10" s="2"/>
    </row>
    <row r="11" spans="1:15" ht="25.5" customHeight="1">
      <c r="B11" s="775" t="s">
        <v>5</v>
      </c>
      <c r="C11" s="775"/>
      <c r="D11" s="775" t="s">
        <v>31</v>
      </c>
      <c r="E11" s="775" t="s">
        <v>322</v>
      </c>
      <c r="F11" s="775"/>
      <c r="G11" s="775"/>
      <c r="H11" s="775" t="s">
        <v>321</v>
      </c>
    </row>
    <row r="12" spans="1:15" ht="28.5" customHeight="1">
      <c r="B12" s="15" t="s">
        <v>1</v>
      </c>
      <c r="C12" s="15" t="s">
        <v>20</v>
      </c>
      <c r="D12" s="775"/>
      <c r="E12" s="15" t="s">
        <v>55</v>
      </c>
      <c r="F12" s="15" t="s">
        <v>73</v>
      </c>
      <c r="G12" s="15" t="s">
        <v>110</v>
      </c>
      <c r="H12" s="775"/>
    </row>
    <row r="13" spans="1:15">
      <c r="B13" s="13"/>
      <c r="C13" s="13"/>
      <c r="D13" s="13"/>
      <c r="E13" s="14"/>
      <c r="F13" s="14"/>
      <c r="G13" s="14"/>
      <c r="H13" s="14"/>
    </row>
    <row r="14" spans="1:15">
      <c r="B14" s="13"/>
      <c r="C14" s="13"/>
      <c r="D14" s="13"/>
      <c r="E14" s="14"/>
      <c r="F14" s="14"/>
      <c r="G14" s="14"/>
      <c r="H14" s="14"/>
    </row>
    <row r="15" spans="1:15">
      <c r="B15" s="13"/>
      <c r="C15" s="13"/>
      <c r="D15" s="13"/>
      <c r="E15" s="14"/>
      <c r="F15" s="14"/>
      <c r="G15" s="14"/>
      <c r="H15" s="14"/>
    </row>
    <row r="16" spans="1:15">
      <c r="B16" s="987" t="s">
        <v>9</v>
      </c>
      <c r="C16" s="987"/>
      <c r="D16" s="987"/>
      <c r="E16" s="15">
        <f>SUM(E13:E15)</f>
        <v>0</v>
      </c>
      <c r="F16" s="15">
        <f t="shared" ref="F16:G16" si="0">SUM(F13:F15)</f>
        <v>0</v>
      </c>
      <c r="G16" s="15">
        <f t="shared" si="0"/>
        <v>0</v>
      </c>
      <c r="H16" s="15" t="s">
        <v>39</v>
      </c>
    </row>
    <row r="18" spans="2:2" ht="15">
      <c r="B18" s="205" t="s">
        <v>338</v>
      </c>
    </row>
  </sheetData>
  <mergeCells count="14">
    <mergeCell ref="A1:H1"/>
    <mergeCell ref="B16:D16"/>
    <mergeCell ref="B11:C11"/>
    <mergeCell ref="D11:D12"/>
    <mergeCell ref="E11:G11"/>
    <mergeCell ref="H11:H12"/>
    <mergeCell ref="B3:C3"/>
    <mergeCell ref="B4:C4"/>
    <mergeCell ref="B5:C5"/>
    <mergeCell ref="B6:C6"/>
    <mergeCell ref="D3:H3"/>
    <mergeCell ref="D4:H4"/>
    <mergeCell ref="D5:H5"/>
    <mergeCell ref="D6:H6"/>
  </mergeCell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election activeCell="B7" sqref="B7"/>
    </sheetView>
  </sheetViews>
  <sheetFormatPr defaultRowHeight="14.4"/>
  <cols>
    <col min="1" max="1" width="8.5546875" customWidth="1"/>
    <col min="2" max="2" width="32.44140625" customWidth="1"/>
    <col min="3" max="3" width="23.109375" customWidth="1"/>
    <col min="4" max="4" width="55.6640625" customWidth="1"/>
    <col min="5" max="5" width="53" customWidth="1"/>
  </cols>
  <sheetData>
    <row r="1" spans="1:5" ht="15">
      <c r="A1" s="2" t="s">
        <v>47</v>
      </c>
      <c r="B1" s="2"/>
      <c r="C1" s="2"/>
      <c r="D1" s="2"/>
    </row>
    <row r="3" spans="1:5" ht="22.8">
      <c r="B3" s="750" t="s">
        <v>33</v>
      </c>
      <c r="C3" s="750" t="s">
        <v>1114</v>
      </c>
      <c r="D3" s="750" t="s">
        <v>34</v>
      </c>
      <c r="E3" s="750" t="s">
        <v>35</v>
      </c>
    </row>
    <row r="4" spans="1:5" ht="44.4" customHeight="1">
      <c r="B4" s="747" t="s">
        <v>1107</v>
      </c>
      <c r="C4" s="748">
        <v>4</v>
      </c>
      <c r="D4" s="747" t="s">
        <v>1108</v>
      </c>
      <c r="E4" s="747" t="s">
        <v>1109</v>
      </c>
    </row>
    <row r="5" spans="1:5" ht="45" customHeight="1">
      <c r="B5" s="990" t="s">
        <v>1121</v>
      </c>
      <c r="C5" s="991"/>
      <c r="D5" s="991"/>
      <c r="E5" s="992"/>
    </row>
    <row r="6" spans="1:5" ht="145.19999999999999" customHeight="1">
      <c r="B6" s="747" t="s">
        <v>1115</v>
      </c>
      <c r="C6" s="748">
        <v>4</v>
      </c>
      <c r="D6" s="747" t="s">
        <v>1116</v>
      </c>
      <c r="E6" s="747" t="s">
        <v>1120</v>
      </c>
    </row>
    <row r="7" spans="1:5" ht="50.4" customHeight="1">
      <c r="B7" s="747" t="s">
        <v>1117</v>
      </c>
      <c r="C7" s="748">
        <v>4</v>
      </c>
      <c r="D7" s="747" t="s">
        <v>1118</v>
      </c>
      <c r="E7" s="747" t="s">
        <v>1119</v>
      </c>
    </row>
  </sheetData>
  <mergeCells count="1">
    <mergeCell ref="B5:E5"/>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5"/>
  <sheetViews>
    <sheetView zoomScale="82" zoomScaleNormal="82" zoomScaleSheetLayoutView="50" workbookViewId="0">
      <selection activeCell="F22" sqref="F22"/>
    </sheetView>
  </sheetViews>
  <sheetFormatPr defaultColWidth="9.109375" defaultRowHeight="15.6"/>
  <cols>
    <col min="1" max="1" width="9.109375" style="76"/>
    <col min="2" max="2" width="11.5546875" style="77" customWidth="1"/>
    <col min="3" max="3" width="7.6640625" style="77" bestFit="1" customWidth="1"/>
    <col min="4" max="4" width="31.88671875" style="78" customWidth="1"/>
    <col min="5" max="5" width="27.6640625" style="78" customWidth="1"/>
    <col min="6" max="6" width="19" style="79" customWidth="1"/>
    <col min="7" max="7" width="12.5546875" style="79" bestFit="1" customWidth="1"/>
    <col min="8" max="8" width="36" style="78" customWidth="1"/>
    <col min="9" max="9" width="19" style="82" bestFit="1" customWidth="1"/>
    <col min="10" max="10" width="25.6640625" style="82" customWidth="1"/>
    <col min="11" max="11" width="17" style="82" customWidth="1"/>
    <col min="12" max="12" width="26" style="83" customWidth="1"/>
    <col min="13" max="13" width="19.88671875" style="83" customWidth="1"/>
    <col min="14" max="14" width="15.88671875" style="84" customWidth="1"/>
    <col min="15" max="15" width="22" style="84" customWidth="1"/>
    <col min="16" max="16" width="14" style="86" customWidth="1"/>
    <col min="17" max="17" width="15" style="76" customWidth="1"/>
    <col min="18" max="18" width="15.44140625" style="76" customWidth="1"/>
    <col min="19" max="19" width="21.109375" style="76" customWidth="1"/>
    <col min="20" max="20" width="37.5546875" style="76" customWidth="1"/>
    <col min="21" max="16384" width="9.109375" style="76"/>
  </cols>
  <sheetData>
    <row r="1" spans="1:20">
      <c r="B1" s="89" t="s">
        <v>89</v>
      </c>
      <c r="D1" s="77"/>
      <c r="E1" s="76"/>
      <c r="F1" s="78"/>
      <c r="H1" s="76"/>
      <c r="I1" s="90"/>
      <c r="J1" s="91"/>
      <c r="K1" s="91"/>
      <c r="L1" s="91"/>
      <c r="M1" s="92"/>
      <c r="N1" s="92"/>
      <c r="O1" s="93"/>
      <c r="P1" s="94"/>
    </row>
    <row r="2" spans="1:20">
      <c r="B2" s="76"/>
      <c r="C2" s="993"/>
      <c r="D2" s="993"/>
      <c r="E2" s="993"/>
      <c r="F2" s="993"/>
      <c r="G2" s="993"/>
      <c r="H2" s="993"/>
      <c r="I2" s="993"/>
      <c r="J2" s="993"/>
      <c r="K2" s="993"/>
      <c r="L2" s="993"/>
      <c r="M2" s="993"/>
      <c r="N2" s="993"/>
      <c r="O2" s="993"/>
      <c r="P2" s="993"/>
      <c r="Q2" s="85"/>
    </row>
    <row r="3" spans="1:20">
      <c r="B3" s="76"/>
      <c r="D3" s="77"/>
      <c r="F3" s="78"/>
      <c r="H3" s="80"/>
      <c r="I3" s="81"/>
      <c r="L3" s="82"/>
      <c r="N3" s="83"/>
      <c r="P3" s="84"/>
      <c r="Q3" s="86"/>
      <c r="R3" s="76" t="s">
        <v>86</v>
      </c>
    </row>
    <row r="4" spans="1:20" s="87" customFormat="1" ht="62.4">
      <c r="B4" s="95" t="s">
        <v>82</v>
      </c>
      <c r="C4" s="95" t="s">
        <v>83</v>
      </c>
      <c r="D4" s="96" t="s">
        <v>77</v>
      </c>
      <c r="E4" s="96" t="s">
        <v>84</v>
      </c>
      <c r="F4" s="96" t="s">
        <v>324</v>
      </c>
      <c r="G4" s="96" t="s">
        <v>78</v>
      </c>
      <c r="H4" s="96" t="s">
        <v>325</v>
      </c>
      <c r="I4" s="97" t="s">
        <v>326</v>
      </c>
      <c r="J4" s="97" t="s">
        <v>79</v>
      </c>
      <c r="K4" s="97" t="s">
        <v>80</v>
      </c>
      <c r="L4" s="98" t="s">
        <v>85</v>
      </c>
      <c r="M4" s="98" t="s">
        <v>114</v>
      </c>
      <c r="N4" s="99" t="s">
        <v>115</v>
      </c>
      <c r="O4" s="99" t="s">
        <v>327</v>
      </c>
      <c r="P4" s="100" t="s">
        <v>87</v>
      </c>
      <c r="Q4" s="100" t="s">
        <v>88</v>
      </c>
      <c r="R4" s="100" t="s">
        <v>116</v>
      </c>
    </row>
    <row r="5" spans="1:20" s="88" customFormat="1">
      <c r="B5" s="14"/>
      <c r="C5" s="14"/>
      <c r="D5" s="14"/>
      <c r="E5" s="14"/>
      <c r="F5" s="14"/>
      <c r="G5" s="14"/>
      <c r="H5" s="14"/>
      <c r="I5" s="14"/>
      <c r="J5" s="14"/>
      <c r="K5" s="14"/>
      <c r="L5" s="14"/>
      <c r="M5" s="14"/>
      <c r="N5" s="14"/>
      <c r="O5" s="14"/>
      <c r="P5" s="14"/>
      <c r="Q5" s="14"/>
      <c r="R5" s="14"/>
    </row>
    <row r="6" spans="1:20">
      <c r="B6" s="14"/>
      <c r="C6" s="14"/>
      <c r="D6" s="14"/>
      <c r="E6" s="14"/>
      <c r="F6" s="14"/>
      <c r="G6" s="14"/>
      <c r="H6" s="14"/>
      <c r="I6" s="14"/>
      <c r="J6" s="14"/>
      <c r="K6" s="14"/>
      <c r="L6" s="14"/>
      <c r="M6" s="14"/>
      <c r="N6" s="14"/>
      <c r="O6" s="14"/>
      <c r="P6" s="14"/>
      <c r="Q6" s="14"/>
      <c r="R6" s="14"/>
    </row>
    <row r="7" spans="1:20" s="78" customFormat="1">
      <c r="A7" s="76"/>
      <c r="B7" s="14"/>
      <c r="C7" s="14"/>
      <c r="D7" s="14"/>
      <c r="E7" s="14"/>
      <c r="F7" s="14"/>
      <c r="G7" s="14"/>
      <c r="H7" s="14"/>
      <c r="I7" s="14"/>
      <c r="J7" s="14"/>
      <c r="K7" s="14"/>
      <c r="L7" s="14"/>
      <c r="M7" s="14"/>
      <c r="N7" s="14"/>
      <c r="O7" s="14"/>
      <c r="P7" s="14"/>
      <c r="Q7" s="14"/>
      <c r="R7" s="14"/>
      <c r="S7" s="76"/>
      <c r="T7" s="76"/>
    </row>
    <row r="8" spans="1:20" s="78" customFormat="1">
      <c r="A8" s="76"/>
      <c r="B8" s="14"/>
      <c r="C8" s="14"/>
      <c r="D8" s="14"/>
      <c r="E8" s="14"/>
      <c r="F8" s="14"/>
      <c r="G8" s="14"/>
      <c r="H8" s="14"/>
      <c r="I8" s="14"/>
      <c r="J8" s="14"/>
      <c r="K8" s="14"/>
      <c r="L8" s="14"/>
      <c r="M8" s="14"/>
      <c r="N8" s="14"/>
      <c r="O8" s="14"/>
      <c r="P8" s="14"/>
      <c r="Q8" s="14"/>
      <c r="R8" s="14"/>
      <c r="S8" s="76"/>
      <c r="T8" s="76"/>
    </row>
    <row r="9" spans="1:20">
      <c r="B9" s="14"/>
      <c r="C9" s="14"/>
      <c r="D9" s="14"/>
      <c r="E9" s="14"/>
      <c r="F9" s="14"/>
      <c r="G9" s="14"/>
      <c r="H9" s="14"/>
      <c r="I9" s="14"/>
      <c r="J9" s="14"/>
      <c r="K9" s="14"/>
      <c r="L9" s="14"/>
      <c r="M9" s="14"/>
      <c r="N9" s="14"/>
      <c r="O9" s="14"/>
      <c r="P9" s="14"/>
      <c r="Q9" s="14"/>
      <c r="R9" s="14"/>
    </row>
    <row r="10" spans="1:20">
      <c r="B10" s="14"/>
      <c r="C10" s="14"/>
      <c r="D10" s="14"/>
      <c r="E10" s="14"/>
      <c r="F10" s="14"/>
      <c r="G10" s="14"/>
      <c r="H10" s="14"/>
      <c r="I10" s="14"/>
      <c r="J10" s="14"/>
      <c r="K10" s="14"/>
      <c r="L10" s="14"/>
      <c r="M10" s="14"/>
      <c r="N10" s="14"/>
      <c r="O10" s="14"/>
      <c r="P10" s="14"/>
      <c r="Q10" s="14"/>
      <c r="R10" s="14"/>
    </row>
    <row r="13" spans="1:20">
      <c r="D13" s="113" t="s">
        <v>81</v>
      </c>
    </row>
    <row r="15" spans="1:20">
      <c r="D15" s="205" t="s">
        <v>338</v>
      </c>
    </row>
  </sheetData>
  <mergeCells count="1">
    <mergeCell ref="C2:P2"/>
  </mergeCells>
  <pageMargins left="0.23622047244094491" right="0.23622047244094491" top="0.27559055118110237" bottom="0.19685039370078741" header="0.15748031496062992" footer="0.15748031496062992"/>
  <pageSetup paperSize="9" scale="30" fitToHeight="0" orientation="landscape"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42"/>
  <sheetViews>
    <sheetView topLeftCell="A64" workbookViewId="0">
      <selection activeCell="B77" sqref="B77:I77"/>
    </sheetView>
  </sheetViews>
  <sheetFormatPr defaultColWidth="9.109375" defaultRowHeight="15"/>
  <cols>
    <col min="1" max="1" width="9.109375" style="207"/>
    <col min="2" max="2" width="9.109375" style="200"/>
    <col min="3" max="6" width="9.109375" style="51"/>
    <col min="7" max="7" width="16.109375" style="51" customWidth="1"/>
    <col min="8" max="8" width="26.33203125" style="51" customWidth="1"/>
    <col min="9" max="9" width="59.44140625" style="51" customWidth="1"/>
    <col min="10" max="10" width="7.6640625" style="51" customWidth="1"/>
    <col min="11" max="16384" width="9.109375" style="51"/>
  </cols>
  <sheetData>
    <row r="1" spans="1:17" ht="21.75" customHeight="1">
      <c r="B1" s="1020" t="s">
        <v>32</v>
      </c>
      <c r="C1" s="1020"/>
      <c r="D1" s="1020"/>
      <c r="E1" s="1020"/>
      <c r="F1" s="1020"/>
      <c r="G1" s="1020"/>
      <c r="H1" s="1020"/>
      <c r="I1" s="1020"/>
    </row>
    <row r="2" spans="1:17" ht="18">
      <c r="B2" s="998" t="s">
        <v>247</v>
      </c>
      <c r="C2" s="998"/>
      <c r="D2" s="998"/>
      <c r="E2" s="998"/>
      <c r="F2" s="998"/>
      <c r="G2" s="998"/>
      <c r="H2" s="998"/>
      <c r="I2" s="998"/>
      <c r="J2" s="53"/>
      <c r="K2" s="53"/>
      <c r="L2" s="53"/>
      <c r="M2" s="53"/>
      <c r="N2" s="53"/>
      <c r="O2" s="53"/>
      <c r="P2" s="53"/>
    </row>
    <row r="3" spans="1:17">
      <c r="B3" s="1013"/>
      <c r="C3" s="1013"/>
      <c r="D3" s="1013"/>
      <c r="E3" s="1013"/>
      <c r="F3" s="1013"/>
      <c r="G3" s="1013"/>
      <c r="H3" s="1013"/>
      <c r="I3" s="1013"/>
      <c r="J3" s="53"/>
      <c r="K3" s="53"/>
      <c r="L3" s="53"/>
      <c r="M3" s="53"/>
      <c r="N3" s="53"/>
      <c r="O3" s="53"/>
      <c r="P3" s="53"/>
    </row>
    <row r="4" spans="1:17">
      <c r="A4" s="207">
        <v>1</v>
      </c>
      <c r="B4" s="994" t="s">
        <v>162</v>
      </c>
      <c r="C4" s="994"/>
      <c r="D4" s="994"/>
      <c r="E4" s="994"/>
      <c r="F4" s="994"/>
      <c r="G4" s="994"/>
      <c r="H4" s="994"/>
      <c r="I4" s="994"/>
      <c r="J4" s="175"/>
      <c r="K4" s="175"/>
      <c r="L4" s="175"/>
      <c r="M4" s="175"/>
      <c r="N4" s="175"/>
      <c r="O4" s="175"/>
      <c r="P4" s="53"/>
    </row>
    <row r="5" spans="1:17">
      <c r="B5" s="1023"/>
      <c r="C5" s="1023"/>
      <c r="D5" s="1023"/>
      <c r="E5" s="1023"/>
      <c r="F5" s="1023"/>
      <c r="G5" s="1023"/>
      <c r="H5" s="1023"/>
      <c r="I5" s="1023"/>
      <c r="J5" s="175"/>
      <c r="K5" s="175"/>
      <c r="L5" s="175"/>
      <c r="M5" s="175"/>
      <c r="N5" s="175"/>
      <c r="O5" s="175"/>
      <c r="P5" s="53"/>
    </row>
    <row r="6" spans="1:17" ht="18" customHeight="1">
      <c r="B6" s="1000" t="s">
        <v>0</v>
      </c>
      <c r="C6" s="1000"/>
      <c r="D6" s="1000"/>
      <c r="E6" s="1000"/>
      <c r="F6" s="1000"/>
      <c r="G6" s="1000"/>
      <c r="H6" s="1000"/>
      <c r="I6" s="1000"/>
      <c r="J6" s="175"/>
      <c r="K6" s="175"/>
      <c r="L6" s="175"/>
      <c r="M6" s="175"/>
      <c r="N6" s="175"/>
      <c r="O6" s="175"/>
      <c r="P6" s="53"/>
    </row>
    <row r="7" spans="1:17" ht="30.75" customHeight="1">
      <c r="A7" s="207">
        <v>2</v>
      </c>
      <c r="B7" s="994" t="s">
        <v>163</v>
      </c>
      <c r="C7" s="994"/>
      <c r="D7" s="994"/>
      <c r="E7" s="994"/>
      <c r="F7" s="994"/>
      <c r="G7" s="994"/>
      <c r="H7" s="994"/>
      <c r="I7" s="994"/>
      <c r="J7" s="994"/>
      <c r="K7" s="994"/>
      <c r="L7" s="994"/>
      <c r="M7" s="994"/>
      <c r="N7" s="994"/>
      <c r="O7" s="994"/>
      <c r="P7" s="53"/>
    </row>
    <row r="8" spans="1:17" ht="42" customHeight="1">
      <c r="A8" s="207">
        <v>3</v>
      </c>
      <c r="B8" s="994" t="s">
        <v>164</v>
      </c>
      <c r="C8" s="994"/>
      <c r="D8" s="994"/>
      <c r="E8" s="994"/>
      <c r="F8" s="994"/>
      <c r="G8" s="994"/>
      <c r="H8" s="994"/>
      <c r="I8" s="994"/>
      <c r="J8" s="994"/>
      <c r="K8" s="994"/>
      <c r="L8" s="994"/>
      <c r="M8" s="994"/>
      <c r="N8" s="994"/>
      <c r="O8" s="994"/>
      <c r="P8" s="53"/>
    </row>
    <row r="9" spans="1:17" ht="28.5" customHeight="1">
      <c r="A9" s="207">
        <v>4</v>
      </c>
      <c r="B9" s="994" t="s">
        <v>165</v>
      </c>
      <c r="C9" s="994"/>
      <c r="D9" s="994"/>
      <c r="E9" s="994"/>
      <c r="F9" s="994"/>
      <c r="G9" s="994"/>
      <c r="H9" s="994"/>
      <c r="I9" s="994"/>
      <c r="J9" s="994"/>
      <c r="K9" s="994"/>
      <c r="L9" s="994"/>
      <c r="M9" s="994"/>
      <c r="N9" s="994"/>
      <c r="O9" s="994"/>
      <c r="P9" s="53"/>
    </row>
    <row r="10" spans="1:17" ht="40.5" customHeight="1">
      <c r="A10" s="207">
        <v>5</v>
      </c>
      <c r="B10" s="994" t="s">
        <v>166</v>
      </c>
      <c r="C10" s="994"/>
      <c r="D10" s="994"/>
      <c r="E10" s="994"/>
      <c r="F10" s="994"/>
      <c r="G10" s="994"/>
      <c r="H10" s="994"/>
      <c r="I10" s="994"/>
      <c r="J10" s="994"/>
      <c r="K10" s="994"/>
      <c r="L10" s="994"/>
      <c r="M10" s="994"/>
      <c r="N10" s="994"/>
      <c r="O10" s="994"/>
      <c r="P10" s="53"/>
    </row>
    <row r="11" spans="1:17" ht="21.75" customHeight="1">
      <c r="B11" s="203"/>
      <c r="C11" s="53"/>
      <c r="D11" s="53"/>
      <c r="E11" s="53"/>
      <c r="F11" s="53"/>
      <c r="G11" s="53"/>
      <c r="H11" s="53"/>
      <c r="I11" s="53"/>
      <c r="J11" s="53"/>
      <c r="K11" s="53"/>
      <c r="L11" s="53"/>
      <c r="M11" s="53"/>
      <c r="N11" s="53"/>
      <c r="O11" s="53"/>
      <c r="P11" s="53"/>
    </row>
    <row r="12" spans="1:17" ht="24" customHeight="1">
      <c r="B12" s="998" t="s">
        <v>167</v>
      </c>
      <c r="C12" s="998"/>
      <c r="D12" s="998"/>
      <c r="E12" s="998"/>
      <c r="F12" s="998"/>
      <c r="G12" s="998"/>
      <c r="H12" s="998"/>
      <c r="I12" s="998"/>
      <c r="J12" s="176"/>
      <c r="K12" s="176"/>
      <c r="L12" s="176"/>
      <c r="M12" s="176"/>
      <c r="N12" s="53"/>
      <c r="O12" s="53"/>
      <c r="P12" s="53"/>
    </row>
    <row r="13" spans="1:17" customFormat="1" ht="15" customHeight="1">
      <c r="A13" s="207"/>
      <c r="B13" s="177" t="s">
        <v>156</v>
      </c>
      <c r="C13" s="178"/>
      <c r="D13" s="178"/>
      <c r="E13" s="178"/>
      <c r="F13" s="178"/>
      <c r="G13" s="178"/>
      <c r="H13" s="178"/>
      <c r="I13" s="178"/>
      <c r="J13" s="179"/>
      <c r="K13" s="179"/>
      <c r="L13" s="179"/>
      <c r="M13" s="179"/>
      <c r="N13" s="179"/>
      <c r="O13" s="179"/>
      <c r="P13" s="178"/>
    </row>
    <row r="14" spans="1:17" customFormat="1" ht="18.75" customHeight="1">
      <c r="A14" s="207"/>
      <c r="B14" s="996"/>
      <c r="C14" s="996"/>
      <c r="D14" s="996"/>
      <c r="E14" s="996"/>
      <c r="F14" s="996"/>
      <c r="G14" s="996"/>
      <c r="H14" s="996"/>
      <c r="I14" s="996"/>
      <c r="J14" s="996"/>
      <c r="K14" s="996"/>
      <c r="L14" s="996"/>
      <c r="M14" s="996"/>
      <c r="N14" s="996"/>
      <c r="O14" s="996"/>
      <c r="P14" s="180"/>
      <c r="Q14" s="150"/>
    </row>
    <row r="15" spans="1:17" customFormat="1" ht="36.75" customHeight="1">
      <c r="A15" s="207">
        <v>1</v>
      </c>
      <c r="B15" s="996" t="s">
        <v>168</v>
      </c>
      <c r="C15" s="996"/>
      <c r="D15" s="996"/>
      <c r="E15" s="996"/>
      <c r="F15" s="996"/>
      <c r="G15" s="996"/>
      <c r="H15" s="996"/>
      <c r="I15" s="996"/>
      <c r="J15" s="996"/>
      <c r="K15" s="996"/>
      <c r="L15" s="996"/>
      <c r="M15" s="996"/>
      <c r="N15" s="996"/>
      <c r="O15" s="996"/>
      <c r="P15" s="180"/>
      <c r="Q15" s="150"/>
    </row>
    <row r="16" spans="1:17" customFormat="1" ht="36.75" customHeight="1">
      <c r="A16" s="207">
        <v>2</v>
      </c>
      <c r="B16" s="996" t="s">
        <v>170</v>
      </c>
      <c r="C16" s="996"/>
      <c r="D16" s="996"/>
      <c r="E16" s="996"/>
      <c r="F16" s="996"/>
      <c r="G16" s="996"/>
      <c r="H16" s="996"/>
      <c r="I16" s="996"/>
      <c r="J16" s="996"/>
      <c r="K16" s="996"/>
      <c r="L16" s="996"/>
      <c r="M16" s="996"/>
      <c r="N16" s="996"/>
      <c r="O16" s="996"/>
      <c r="P16" s="180"/>
      <c r="Q16" s="150"/>
    </row>
    <row r="17" spans="1:17" customFormat="1" ht="36.75" customHeight="1">
      <c r="A17" s="207">
        <v>3</v>
      </c>
      <c r="B17" s="996" t="s">
        <v>179</v>
      </c>
      <c r="C17" s="996"/>
      <c r="D17" s="996"/>
      <c r="E17" s="996"/>
      <c r="F17" s="996"/>
      <c r="G17" s="996"/>
      <c r="H17" s="996"/>
      <c r="I17" s="996"/>
      <c r="J17" s="996"/>
      <c r="K17" s="996"/>
      <c r="L17" s="996"/>
      <c r="M17" s="996"/>
      <c r="N17" s="996"/>
      <c r="O17" s="996"/>
      <c r="P17" s="180"/>
      <c r="Q17" s="150"/>
    </row>
    <row r="18" spans="1:17" customFormat="1" ht="36.75" customHeight="1">
      <c r="A18" s="207">
        <v>4</v>
      </c>
      <c r="B18" s="996" t="s">
        <v>182</v>
      </c>
      <c r="C18" s="996"/>
      <c r="D18" s="996"/>
      <c r="E18" s="996"/>
      <c r="F18" s="996"/>
      <c r="G18" s="996"/>
      <c r="H18" s="996"/>
      <c r="I18" s="996"/>
      <c r="J18" s="996"/>
      <c r="K18" s="996"/>
      <c r="L18" s="996"/>
      <c r="M18" s="996"/>
      <c r="N18" s="996"/>
      <c r="O18" s="996"/>
      <c r="P18" s="180"/>
      <c r="Q18" s="150"/>
    </row>
    <row r="19" spans="1:17" ht="15" customHeight="1">
      <c r="A19" s="207">
        <v>5</v>
      </c>
      <c r="B19" s="994" t="s">
        <v>269</v>
      </c>
      <c r="C19" s="994"/>
      <c r="D19" s="994"/>
      <c r="E19" s="994"/>
      <c r="F19" s="994"/>
      <c r="G19" s="994"/>
      <c r="H19" s="994"/>
      <c r="I19" s="994"/>
      <c r="J19" s="994"/>
      <c r="K19" s="994"/>
      <c r="L19" s="994"/>
      <c r="M19" s="994"/>
      <c r="N19" s="994"/>
      <c r="O19" s="994"/>
      <c r="P19" s="53"/>
    </row>
    <row r="20" spans="1:17" ht="15" customHeight="1">
      <c r="B20" s="208"/>
      <c r="C20" s="183"/>
      <c r="D20" s="183"/>
      <c r="E20" s="183"/>
      <c r="F20" s="183"/>
      <c r="G20" s="183"/>
      <c r="H20" s="183"/>
      <c r="I20" s="183"/>
      <c r="J20" s="183"/>
      <c r="K20" s="183"/>
      <c r="L20" s="183"/>
      <c r="M20" s="183"/>
      <c r="N20" s="183"/>
      <c r="O20" s="183"/>
      <c r="P20" s="53"/>
    </row>
    <row r="21" spans="1:17" customFormat="1" ht="15" customHeight="1">
      <c r="A21" s="207"/>
      <c r="B21" s="995" t="s">
        <v>157</v>
      </c>
      <c r="C21" s="995"/>
      <c r="D21" s="995"/>
      <c r="E21" s="995"/>
      <c r="F21" s="995"/>
      <c r="G21" s="995"/>
      <c r="H21" s="995"/>
      <c r="I21" s="995"/>
      <c r="J21" s="995"/>
      <c r="K21" s="995"/>
      <c r="L21" s="995"/>
      <c r="M21" s="995"/>
      <c r="N21" s="995"/>
      <c r="O21" s="995"/>
      <c r="P21" s="178"/>
    </row>
    <row r="22" spans="1:17" customFormat="1" ht="15" customHeight="1">
      <c r="A22" s="207"/>
      <c r="B22" s="209"/>
      <c r="C22" s="182"/>
      <c r="D22" s="182"/>
      <c r="E22" s="182"/>
      <c r="F22" s="182"/>
      <c r="G22" s="182"/>
      <c r="H22" s="182"/>
      <c r="I22" s="182"/>
      <c r="J22" s="182"/>
      <c r="K22" s="182"/>
      <c r="L22" s="182"/>
      <c r="M22" s="182"/>
      <c r="N22" s="182"/>
      <c r="O22" s="182"/>
      <c r="P22" s="178"/>
    </row>
    <row r="23" spans="1:17" customFormat="1" ht="15.75" customHeight="1">
      <c r="A23" s="207">
        <v>1</v>
      </c>
      <c r="B23" s="996" t="s">
        <v>196</v>
      </c>
      <c r="C23" s="997"/>
      <c r="D23" s="997"/>
      <c r="E23" s="997"/>
      <c r="F23" s="997"/>
      <c r="G23" s="997"/>
      <c r="H23" s="997"/>
      <c r="I23" s="997"/>
      <c r="J23" s="997"/>
      <c r="K23" s="997"/>
      <c r="L23" s="997"/>
      <c r="M23" s="997"/>
      <c r="N23" s="997"/>
      <c r="O23" s="997"/>
      <c r="P23" s="178"/>
    </row>
    <row r="24" spans="1:17" customFormat="1" ht="15.75" customHeight="1">
      <c r="A24" s="207"/>
      <c r="B24" s="995" t="s">
        <v>131</v>
      </c>
      <c r="C24" s="995"/>
      <c r="D24" s="995"/>
      <c r="E24" s="995"/>
      <c r="F24" s="995"/>
      <c r="G24" s="995"/>
      <c r="H24" s="995"/>
      <c r="I24" s="995"/>
      <c r="J24" s="995"/>
      <c r="K24" s="995"/>
      <c r="L24" s="995"/>
      <c r="M24" s="995"/>
      <c r="N24" s="995"/>
      <c r="O24" s="995"/>
      <c r="P24" s="178"/>
    </row>
    <row r="25" spans="1:17" customFormat="1" ht="24.75" customHeight="1">
      <c r="A25" s="207">
        <v>2</v>
      </c>
      <c r="B25" s="996" t="s">
        <v>205</v>
      </c>
      <c r="C25" s="997"/>
      <c r="D25" s="997"/>
      <c r="E25" s="997"/>
      <c r="F25" s="997"/>
      <c r="G25" s="997"/>
      <c r="H25" s="997"/>
      <c r="I25" s="997"/>
      <c r="J25" s="997"/>
      <c r="K25" s="997"/>
      <c r="L25" s="997"/>
      <c r="M25" s="997"/>
      <c r="N25" s="997"/>
      <c r="O25" s="997"/>
      <c r="P25" s="178"/>
    </row>
    <row r="26" spans="1:17" customFormat="1" ht="33" customHeight="1">
      <c r="A26" s="207">
        <v>3</v>
      </c>
      <c r="B26" s="996" t="s">
        <v>206</v>
      </c>
      <c r="C26" s="997"/>
      <c r="D26" s="997"/>
      <c r="E26" s="997"/>
      <c r="F26" s="997"/>
      <c r="G26" s="997"/>
      <c r="H26" s="997"/>
      <c r="I26" s="997"/>
      <c r="J26" s="997"/>
      <c r="K26" s="997"/>
      <c r="L26" s="997"/>
      <c r="M26" s="997"/>
      <c r="N26" s="997"/>
      <c r="O26" s="997"/>
      <c r="P26" s="178"/>
    </row>
    <row r="27" spans="1:17" customFormat="1" ht="21" customHeight="1">
      <c r="A27" s="207"/>
      <c r="B27" s="995" t="s">
        <v>137</v>
      </c>
      <c r="C27" s="995"/>
      <c r="D27" s="995"/>
      <c r="E27" s="995"/>
      <c r="F27" s="995"/>
      <c r="G27" s="995"/>
      <c r="H27" s="995"/>
      <c r="I27" s="995"/>
      <c r="J27" s="995"/>
      <c r="K27" s="995"/>
      <c r="L27" s="995"/>
      <c r="M27" s="995"/>
      <c r="N27" s="995"/>
      <c r="O27" s="995"/>
      <c r="P27" s="178"/>
    </row>
    <row r="28" spans="1:17" customFormat="1" ht="54.75" customHeight="1">
      <c r="A28" s="207">
        <v>4</v>
      </c>
      <c r="B28" s="996" t="s">
        <v>207</v>
      </c>
      <c r="C28" s="997"/>
      <c r="D28" s="997"/>
      <c r="E28" s="997"/>
      <c r="F28" s="997"/>
      <c r="G28" s="997"/>
      <c r="H28" s="997"/>
      <c r="I28" s="997"/>
      <c r="J28" s="997"/>
      <c r="K28" s="997"/>
      <c r="L28" s="997"/>
      <c r="M28" s="997"/>
      <c r="N28" s="997"/>
      <c r="O28" s="997"/>
      <c r="P28" s="178"/>
    </row>
    <row r="29" spans="1:17" customFormat="1" ht="49.5" customHeight="1">
      <c r="A29" s="207">
        <v>5</v>
      </c>
      <c r="B29" s="996" t="s">
        <v>208</v>
      </c>
      <c r="C29" s="997"/>
      <c r="D29" s="997"/>
      <c r="E29" s="997"/>
      <c r="F29" s="997"/>
      <c r="G29" s="997"/>
      <c r="H29" s="997"/>
      <c r="I29" s="997"/>
      <c r="J29" s="997"/>
      <c r="K29" s="997"/>
      <c r="L29" s="997"/>
      <c r="M29" s="997"/>
      <c r="N29" s="997"/>
      <c r="O29" s="997"/>
      <c r="P29" s="178"/>
    </row>
    <row r="30" spans="1:17" customFormat="1" ht="17.25" customHeight="1">
      <c r="A30" s="207">
        <v>6</v>
      </c>
      <c r="B30" s="996" t="s">
        <v>209</v>
      </c>
      <c r="C30" s="997"/>
      <c r="D30" s="997"/>
      <c r="E30" s="997"/>
      <c r="F30" s="997"/>
      <c r="G30" s="997"/>
      <c r="H30" s="997"/>
      <c r="I30" s="997"/>
      <c r="J30" s="997"/>
      <c r="K30" s="997"/>
      <c r="L30" s="997"/>
      <c r="M30" s="997"/>
      <c r="N30" s="997"/>
      <c r="O30" s="997"/>
      <c r="P30" s="178"/>
    </row>
    <row r="31" spans="1:17" customFormat="1" ht="36.75" customHeight="1">
      <c r="A31" s="207">
        <v>7</v>
      </c>
      <c r="B31" s="996" t="s">
        <v>210</v>
      </c>
      <c r="C31" s="997"/>
      <c r="D31" s="997"/>
      <c r="E31" s="997"/>
      <c r="F31" s="997"/>
      <c r="G31" s="997"/>
      <c r="H31" s="997"/>
      <c r="I31" s="997"/>
      <c r="J31" s="997"/>
      <c r="K31" s="997"/>
      <c r="L31" s="997"/>
      <c r="M31" s="997"/>
      <c r="N31" s="997"/>
      <c r="O31" s="997"/>
      <c r="P31" s="178"/>
    </row>
    <row r="32" spans="1:17" customFormat="1" ht="25.5" customHeight="1">
      <c r="A32" s="207">
        <v>8</v>
      </c>
      <c r="B32" s="996" t="s">
        <v>211</v>
      </c>
      <c r="C32" s="997"/>
      <c r="D32" s="997"/>
      <c r="E32" s="997"/>
      <c r="F32" s="997"/>
      <c r="G32" s="997"/>
      <c r="H32" s="997"/>
      <c r="I32" s="997"/>
      <c r="J32" s="997"/>
      <c r="K32" s="997"/>
      <c r="L32" s="997"/>
      <c r="M32" s="997"/>
      <c r="N32" s="997"/>
      <c r="O32" s="997"/>
      <c r="P32" s="178"/>
    </row>
    <row r="33" spans="1:16" customFormat="1" ht="25.5" customHeight="1">
      <c r="A33" s="207"/>
      <c r="B33" s="995" t="s">
        <v>139</v>
      </c>
      <c r="C33" s="995"/>
      <c r="D33" s="995"/>
      <c r="E33" s="995"/>
      <c r="F33" s="995"/>
      <c r="G33" s="995"/>
      <c r="H33" s="995"/>
      <c r="I33" s="995"/>
      <c r="J33" s="995"/>
      <c r="K33" s="995"/>
      <c r="L33" s="995"/>
      <c r="M33" s="995"/>
      <c r="N33" s="995"/>
      <c r="O33" s="995"/>
      <c r="P33" s="178"/>
    </row>
    <row r="34" spans="1:16" customFormat="1" ht="21.75" customHeight="1">
      <c r="A34" s="207">
        <v>9</v>
      </c>
      <c r="B34" s="996" t="s">
        <v>212</v>
      </c>
      <c r="C34" s="997"/>
      <c r="D34" s="997"/>
      <c r="E34" s="997"/>
      <c r="F34" s="997"/>
      <c r="G34" s="997"/>
      <c r="H34" s="997"/>
      <c r="I34" s="997"/>
      <c r="J34" s="997"/>
      <c r="K34" s="997"/>
      <c r="L34" s="997"/>
      <c r="M34" s="997"/>
      <c r="N34" s="997"/>
      <c r="O34" s="997"/>
      <c r="P34" s="178"/>
    </row>
    <row r="35" spans="1:16" customFormat="1" ht="49.5" customHeight="1">
      <c r="A35" s="207">
        <v>10</v>
      </c>
      <c r="B35" s="996" t="s">
        <v>213</v>
      </c>
      <c r="C35" s="997"/>
      <c r="D35" s="997"/>
      <c r="E35" s="997"/>
      <c r="F35" s="997"/>
      <c r="G35" s="997"/>
      <c r="H35" s="997"/>
      <c r="I35" s="997"/>
      <c r="J35" s="997"/>
      <c r="K35" s="997"/>
      <c r="L35" s="997"/>
      <c r="M35" s="997"/>
      <c r="N35" s="997"/>
      <c r="O35" s="997"/>
      <c r="P35" s="178"/>
    </row>
    <row r="36" spans="1:16" customFormat="1" ht="31.5" customHeight="1">
      <c r="A36" s="207">
        <v>11</v>
      </c>
      <c r="B36" s="996" t="s">
        <v>214</v>
      </c>
      <c r="C36" s="996"/>
      <c r="D36" s="996"/>
      <c r="E36" s="996"/>
      <c r="F36" s="996"/>
      <c r="G36" s="996"/>
      <c r="H36" s="996"/>
      <c r="I36" s="996"/>
      <c r="J36" s="996"/>
      <c r="K36" s="996"/>
      <c r="L36" s="996"/>
      <c r="M36" s="996"/>
      <c r="N36" s="996"/>
      <c r="O36" s="996"/>
      <c r="P36" s="178"/>
    </row>
    <row r="37" spans="1:16" customFormat="1" ht="27" customHeight="1">
      <c r="A37" s="207"/>
      <c r="B37" s="995" t="s">
        <v>140</v>
      </c>
      <c r="C37" s="995"/>
      <c r="D37" s="995"/>
      <c r="E37" s="995"/>
      <c r="F37" s="995"/>
      <c r="G37" s="995"/>
      <c r="H37" s="995"/>
      <c r="I37" s="995"/>
      <c r="J37" s="995"/>
      <c r="K37" s="995"/>
      <c r="L37" s="995"/>
      <c r="M37" s="995"/>
      <c r="N37" s="995"/>
      <c r="O37" s="995"/>
      <c r="P37" s="178"/>
    </row>
    <row r="38" spans="1:16" customFormat="1" ht="36.75" customHeight="1">
      <c r="A38" s="207">
        <v>12</v>
      </c>
      <c r="B38" s="996" t="s">
        <v>184</v>
      </c>
      <c r="C38" s="997"/>
      <c r="D38" s="997"/>
      <c r="E38" s="997"/>
      <c r="F38" s="997"/>
      <c r="G38" s="997"/>
      <c r="H38" s="997"/>
      <c r="I38" s="997"/>
      <c r="J38" s="997"/>
      <c r="K38" s="997"/>
      <c r="L38" s="997"/>
      <c r="M38" s="997"/>
      <c r="N38" s="997"/>
      <c r="O38" s="997"/>
      <c r="P38" s="178"/>
    </row>
    <row r="39" spans="1:16" customFormat="1" ht="55.5" customHeight="1">
      <c r="A39" s="207">
        <v>13</v>
      </c>
      <c r="B39" s="996" t="s">
        <v>215</v>
      </c>
      <c r="C39" s="997"/>
      <c r="D39" s="997"/>
      <c r="E39" s="997"/>
      <c r="F39" s="997"/>
      <c r="G39" s="997"/>
      <c r="H39" s="997"/>
      <c r="I39" s="997"/>
      <c r="J39" s="997"/>
      <c r="K39" s="997"/>
      <c r="L39" s="997"/>
      <c r="M39" s="997"/>
      <c r="N39" s="997"/>
      <c r="O39" s="997"/>
      <c r="P39" s="178"/>
    </row>
    <row r="40" spans="1:16" customFormat="1" ht="19.5" customHeight="1">
      <c r="A40" s="207">
        <v>14</v>
      </c>
      <c r="B40" s="996" t="s">
        <v>216</v>
      </c>
      <c r="C40" s="997"/>
      <c r="D40" s="997"/>
      <c r="E40" s="997"/>
      <c r="F40" s="997"/>
      <c r="G40" s="997"/>
      <c r="H40" s="997"/>
      <c r="I40" s="997"/>
      <c r="J40" s="997"/>
      <c r="K40" s="997"/>
      <c r="L40" s="997"/>
      <c r="M40" s="997"/>
      <c r="N40" s="997"/>
      <c r="O40" s="997"/>
      <c r="P40" s="178"/>
    </row>
    <row r="41" spans="1:16" customFormat="1" ht="73.5" customHeight="1">
      <c r="A41" s="207">
        <v>15</v>
      </c>
      <c r="B41" s="996" t="s">
        <v>217</v>
      </c>
      <c r="C41" s="997"/>
      <c r="D41" s="997"/>
      <c r="E41" s="997"/>
      <c r="F41" s="997"/>
      <c r="G41" s="997"/>
      <c r="H41" s="997"/>
      <c r="I41" s="997"/>
      <c r="J41" s="997"/>
      <c r="K41" s="997"/>
      <c r="L41" s="997"/>
      <c r="M41" s="997"/>
      <c r="N41" s="997"/>
      <c r="O41" s="997"/>
      <c r="P41" s="178"/>
    </row>
    <row r="42" spans="1:16" customFormat="1" ht="27" customHeight="1">
      <c r="A42" s="207"/>
      <c r="B42" s="995" t="s">
        <v>141</v>
      </c>
      <c r="C42" s="995"/>
      <c r="D42" s="995"/>
      <c r="E42" s="995"/>
      <c r="F42" s="995"/>
      <c r="G42" s="995"/>
      <c r="H42" s="995"/>
      <c r="I42" s="995"/>
      <c r="J42" s="995"/>
      <c r="K42" s="995"/>
      <c r="L42" s="995"/>
      <c r="M42" s="995"/>
      <c r="N42" s="995"/>
      <c r="O42" s="995"/>
      <c r="P42" s="178"/>
    </row>
    <row r="43" spans="1:16" customFormat="1" ht="50.25" customHeight="1">
      <c r="A43" s="207">
        <v>16</v>
      </c>
      <c r="B43" s="996" t="s">
        <v>168</v>
      </c>
      <c r="C43" s="997"/>
      <c r="D43" s="997"/>
      <c r="E43" s="997"/>
      <c r="F43" s="997"/>
      <c r="G43" s="997"/>
      <c r="H43" s="997"/>
      <c r="I43" s="997"/>
      <c r="J43" s="997"/>
      <c r="K43" s="997"/>
      <c r="L43" s="997"/>
      <c r="M43" s="997"/>
      <c r="N43" s="997"/>
      <c r="O43" s="997"/>
      <c r="P43" s="178"/>
    </row>
    <row r="44" spans="1:16" customFormat="1" ht="92.25" customHeight="1">
      <c r="A44" s="207">
        <v>17</v>
      </c>
      <c r="B44" s="996" t="s">
        <v>218</v>
      </c>
      <c r="C44" s="997"/>
      <c r="D44" s="997"/>
      <c r="E44" s="997"/>
      <c r="F44" s="997"/>
      <c r="G44" s="997"/>
      <c r="H44" s="997"/>
      <c r="I44" s="997"/>
      <c r="J44" s="997"/>
      <c r="K44" s="997"/>
      <c r="L44" s="997"/>
      <c r="M44" s="997"/>
      <c r="N44" s="997"/>
      <c r="O44" s="997"/>
      <c r="P44" s="178"/>
    </row>
    <row r="45" spans="1:16" customFormat="1" ht="55.5" customHeight="1">
      <c r="A45" s="207">
        <v>18</v>
      </c>
      <c r="B45" s="996" t="s">
        <v>219</v>
      </c>
      <c r="C45" s="997"/>
      <c r="D45" s="997"/>
      <c r="E45" s="997"/>
      <c r="F45" s="997"/>
      <c r="G45" s="997"/>
      <c r="H45" s="997"/>
      <c r="I45" s="997"/>
      <c r="J45" s="997"/>
      <c r="K45" s="997"/>
      <c r="L45" s="997"/>
      <c r="M45" s="997"/>
      <c r="N45" s="997"/>
      <c r="O45" s="997"/>
      <c r="P45" s="178"/>
    </row>
    <row r="46" spans="1:16" customFormat="1" ht="25.5" customHeight="1">
      <c r="A46" s="207"/>
      <c r="B46" s="995" t="s">
        <v>158</v>
      </c>
      <c r="C46" s="995"/>
      <c r="D46" s="995"/>
      <c r="E46" s="995"/>
      <c r="F46" s="995"/>
      <c r="G46" s="995"/>
      <c r="H46" s="995"/>
      <c r="I46" s="995"/>
      <c r="J46" s="995"/>
      <c r="K46" s="995"/>
      <c r="L46" s="995"/>
      <c r="M46" s="995"/>
      <c r="N46" s="995"/>
      <c r="O46" s="995"/>
      <c r="P46" s="178"/>
    </row>
    <row r="47" spans="1:16" customFormat="1" ht="57" customHeight="1">
      <c r="A47" s="207">
        <v>19</v>
      </c>
      <c r="B47" s="996" t="s">
        <v>169</v>
      </c>
      <c r="C47" s="997"/>
      <c r="D47" s="997"/>
      <c r="E47" s="997"/>
      <c r="F47" s="997"/>
      <c r="G47" s="997"/>
      <c r="H47" s="997"/>
      <c r="I47" s="997"/>
      <c r="J47" s="997"/>
      <c r="K47" s="997"/>
      <c r="L47" s="997"/>
      <c r="M47" s="997"/>
      <c r="N47" s="997"/>
      <c r="O47" s="997"/>
      <c r="P47" s="178"/>
    </row>
    <row r="48" spans="1:16" customFormat="1" ht="24.75" customHeight="1">
      <c r="A48" s="207"/>
      <c r="B48" s="995" t="s">
        <v>159</v>
      </c>
      <c r="C48" s="995"/>
      <c r="D48" s="995"/>
      <c r="E48" s="995"/>
      <c r="F48" s="995"/>
      <c r="G48" s="995"/>
      <c r="H48" s="995"/>
      <c r="I48" s="995"/>
      <c r="J48" s="995"/>
      <c r="K48" s="995"/>
      <c r="L48" s="995"/>
      <c r="M48" s="995"/>
      <c r="N48" s="995"/>
      <c r="O48" s="995"/>
      <c r="P48" s="178"/>
    </row>
    <row r="49" spans="1:29" customFormat="1" ht="51.75" customHeight="1">
      <c r="A49" s="207">
        <v>20</v>
      </c>
      <c r="B49" s="996" t="s">
        <v>182</v>
      </c>
      <c r="C49" s="997"/>
      <c r="D49" s="997"/>
      <c r="E49" s="997"/>
      <c r="F49" s="997"/>
      <c r="G49" s="997"/>
      <c r="H49" s="997"/>
      <c r="I49" s="997"/>
      <c r="J49" s="997"/>
      <c r="K49" s="997"/>
      <c r="L49" s="997"/>
      <c r="M49" s="997"/>
      <c r="N49" s="997"/>
      <c r="O49" s="997"/>
      <c r="P49" s="178"/>
    </row>
    <row r="50" spans="1:29" customFormat="1" ht="24.75" customHeight="1">
      <c r="A50" s="207"/>
      <c r="B50" s="995" t="s">
        <v>160</v>
      </c>
      <c r="C50" s="995"/>
      <c r="D50" s="995"/>
      <c r="E50" s="995"/>
      <c r="F50" s="995"/>
      <c r="G50" s="995"/>
      <c r="H50" s="995"/>
      <c r="I50" s="995"/>
      <c r="J50" s="995"/>
      <c r="K50" s="995"/>
      <c r="L50" s="995"/>
      <c r="M50" s="995"/>
      <c r="N50" s="995"/>
      <c r="O50" s="995"/>
      <c r="P50" s="178"/>
    </row>
    <row r="51" spans="1:29" customFormat="1" ht="72" customHeight="1">
      <c r="A51" s="207">
        <v>21</v>
      </c>
      <c r="B51" s="996" t="s">
        <v>220</v>
      </c>
      <c r="C51" s="997"/>
      <c r="D51" s="997"/>
      <c r="E51" s="997"/>
      <c r="F51" s="997"/>
      <c r="G51" s="997"/>
      <c r="H51" s="997"/>
      <c r="I51" s="997"/>
      <c r="J51" s="997"/>
      <c r="K51" s="997"/>
      <c r="L51" s="997"/>
      <c r="M51" s="997"/>
      <c r="N51" s="997"/>
      <c r="O51" s="997"/>
      <c r="P51" s="178"/>
    </row>
    <row r="52" spans="1:29" customFormat="1" ht="30.75" customHeight="1">
      <c r="A52" s="207"/>
      <c r="B52" s="995" t="s">
        <v>142</v>
      </c>
      <c r="C52" s="995"/>
      <c r="D52" s="995"/>
      <c r="E52" s="995"/>
      <c r="F52" s="995"/>
      <c r="G52" s="995"/>
      <c r="H52" s="995"/>
      <c r="I52" s="995"/>
      <c r="J52" s="995"/>
      <c r="K52" s="995"/>
      <c r="L52" s="995"/>
      <c r="M52" s="995"/>
      <c r="N52" s="995"/>
      <c r="O52" s="995"/>
      <c r="P52" s="178"/>
    </row>
    <row r="53" spans="1:29" customFormat="1" ht="83.25" customHeight="1">
      <c r="A53" s="207">
        <v>22</v>
      </c>
      <c r="B53" s="996" t="s">
        <v>221</v>
      </c>
      <c r="C53" s="997"/>
      <c r="D53" s="997"/>
      <c r="E53" s="997"/>
      <c r="F53" s="997"/>
      <c r="G53" s="997"/>
      <c r="H53" s="997"/>
      <c r="I53" s="997"/>
      <c r="J53" s="997"/>
      <c r="K53" s="997"/>
      <c r="L53" s="997"/>
      <c r="M53" s="997"/>
      <c r="N53" s="997"/>
      <c r="O53" s="997"/>
      <c r="P53" s="178"/>
    </row>
    <row r="54" spans="1:29" customFormat="1" ht="36.75" customHeight="1">
      <c r="A54" s="207">
        <v>23</v>
      </c>
      <c r="B54" s="996" t="s">
        <v>222</v>
      </c>
      <c r="C54" s="997"/>
      <c r="D54" s="997"/>
      <c r="E54" s="997"/>
      <c r="F54" s="997"/>
      <c r="G54" s="997"/>
      <c r="H54" s="997"/>
      <c r="I54" s="997"/>
      <c r="J54" s="997"/>
      <c r="K54" s="997"/>
      <c r="L54" s="997"/>
      <c r="M54" s="997"/>
      <c r="N54" s="997"/>
      <c r="O54" s="997"/>
      <c r="P54" s="178"/>
    </row>
    <row r="55" spans="1:29" customFormat="1" ht="27" customHeight="1">
      <c r="A55" s="207"/>
      <c r="B55" s="995" t="s">
        <v>144</v>
      </c>
      <c r="C55" s="995"/>
      <c r="D55" s="995"/>
      <c r="E55" s="995"/>
      <c r="F55" s="995"/>
      <c r="G55" s="995"/>
      <c r="H55" s="995"/>
      <c r="I55" s="995"/>
      <c r="J55" s="995"/>
      <c r="K55" s="995"/>
      <c r="L55" s="995"/>
      <c r="M55" s="995"/>
      <c r="N55" s="995"/>
      <c r="O55" s="995"/>
      <c r="P55" s="178"/>
    </row>
    <row r="56" spans="1:29" customFormat="1" ht="72.75" customHeight="1">
      <c r="A56" s="207">
        <v>24</v>
      </c>
      <c r="B56" s="996" t="s">
        <v>223</v>
      </c>
      <c r="C56" s="997"/>
      <c r="D56" s="997"/>
      <c r="E56" s="997"/>
      <c r="F56" s="997"/>
      <c r="G56" s="997"/>
      <c r="H56" s="997"/>
      <c r="I56" s="997"/>
      <c r="J56" s="997"/>
      <c r="K56" s="997"/>
      <c r="L56" s="997"/>
      <c r="M56" s="997"/>
      <c r="N56" s="997"/>
      <c r="O56" s="997"/>
      <c r="P56" s="178"/>
    </row>
    <row r="57" spans="1:29" customFormat="1" ht="24" customHeight="1">
      <c r="A57" s="207"/>
      <c r="B57" s="995" t="s">
        <v>147</v>
      </c>
      <c r="C57" s="995"/>
      <c r="D57" s="995"/>
      <c r="E57" s="995"/>
      <c r="F57" s="995"/>
      <c r="G57" s="995"/>
      <c r="H57" s="995"/>
      <c r="I57" s="995"/>
      <c r="J57" s="995"/>
      <c r="K57" s="995"/>
      <c r="L57" s="995"/>
      <c r="M57" s="995"/>
      <c r="N57" s="995"/>
      <c r="O57" s="995"/>
      <c r="P57" s="178"/>
    </row>
    <row r="58" spans="1:29" customFormat="1" ht="19.5" customHeight="1">
      <c r="A58" s="207">
        <v>25</v>
      </c>
      <c r="B58" s="996" t="s">
        <v>224</v>
      </c>
      <c r="C58" s="997"/>
      <c r="D58" s="997"/>
      <c r="E58" s="997"/>
      <c r="F58" s="997"/>
      <c r="G58" s="997"/>
      <c r="H58" s="997"/>
      <c r="I58" s="997"/>
      <c r="J58" s="997"/>
      <c r="K58" s="997"/>
      <c r="L58" s="997"/>
      <c r="M58" s="997"/>
      <c r="N58" s="997"/>
      <c r="O58" s="997"/>
      <c r="P58" s="178"/>
    </row>
    <row r="59" spans="1:29" customFormat="1" ht="19.5" customHeight="1">
      <c r="A59" s="207"/>
      <c r="B59" s="995" t="s">
        <v>185</v>
      </c>
      <c r="C59" s="995"/>
      <c r="D59" s="995"/>
      <c r="E59" s="995"/>
      <c r="F59" s="995"/>
      <c r="G59" s="995"/>
      <c r="H59" s="995"/>
      <c r="I59" s="995"/>
      <c r="J59" s="995"/>
      <c r="K59" s="995"/>
      <c r="L59" s="995"/>
      <c r="M59" s="995"/>
      <c r="N59" s="995"/>
      <c r="O59" s="995"/>
      <c r="P59" s="53"/>
      <c r="Q59" s="51"/>
      <c r="R59" s="51"/>
      <c r="S59" s="51"/>
      <c r="T59" s="51"/>
      <c r="U59" s="51"/>
      <c r="V59" s="51"/>
      <c r="W59" s="51"/>
      <c r="X59" s="51"/>
      <c r="Y59" s="51"/>
      <c r="Z59" s="51"/>
      <c r="AA59" s="51"/>
      <c r="AB59" s="51"/>
    </row>
    <row r="60" spans="1:29" customFormat="1" ht="102.75" customHeight="1">
      <c r="A60" s="207">
        <v>26</v>
      </c>
      <c r="B60" s="996" t="s">
        <v>245</v>
      </c>
      <c r="C60" s="996"/>
      <c r="D60" s="996"/>
      <c r="E60" s="996"/>
      <c r="F60" s="996"/>
      <c r="G60" s="996"/>
      <c r="H60" s="996"/>
      <c r="I60" s="996"/>
      <c r="J60" s="996"/>
      <c r="K60" s="996"/>
      <c r="L60" s="996"/>
      <c r="M60" s="996"/>
      <c r="N60" s="996"/>
      <c r="O60" s="996"/>
      <c r="P60" s="53"/>
      <c r="Q60" s="51"/>
      <c r="R60" s="51"/>
      <c r="S60" s="51"/>
      <c r="T60" s="51"/>
      <c r="U60" s="51"/>
      <c r="V60" s="51"/>
      <c r="W60" s="51"/>
      <c r="X60" s="51"/>
      <c r="Y60" s="51"/>
      <c r="Z60" s="51"/>
      <c r="AA60" s="51"/>
      <c r="AB60" s="51"/>
    </row>
    <row r="61" spans="1:29" customFormat="1" ht="29.25" customHeight="1">
      <c r="A61" s="207"/>
      <c r="B61" s="995" t="s">
        <v>244</v>
      </c>
      <c r="C61" s="995"/>
      <c r="D61" s="995"/>
      <c r="E61" s="995"/>
      <c r="F61" s="995"/>
      <c r="G61" s="995"/>
      <c r="H61" s="995"/>
      <c r="I61" s="995"/>
      <c r="J61" s="995"/>
      <c r="K61" s="995"/>
      <c r="L61" s="995"/>
      <c r="M61" s="995"/>
      <c r="N61" s="995"/>
      <c r="O61" s="995"/>
      <c r="P61" s="53"/>
      <c r="Q61" s="51"/>
      <c r="R61" s="51"/>
      <c r="S61" s="51"/>
      <c r="T61" s="51"/>
      <c r="U61" s="51"/>
      <c r="V61" s="51"/>
      <c r="W61" s="51"/>
      <c r="X61" s="51"/>
      <c r="Y61" s="51"/>
      <c r="Z61" s="51"/>
      <c r="AA61" s="51"/>
      <c r="AB61" s="51"/>
      <c r="AC61" s="51"/>
    </row>
    <row r="62" spans="1:29" customFormat="1" ht="110.25" customHeight="1">
      <c r="A62" s="207">
        <v>27</v>
      </c>
      <c r="B62" s="996" t="s">
        <v>246</v>
      </c>
      <c r="C62" s="997"/>
      <c r="D62" s="997"/>
      <c r="E62" s="997"/>
      <c r="F62" s="997"/>
      <c r="G62" s="997"/>
      <c r="H62" s="997"/>
      <c r="I62" s="997"/>
      <c r="J62" s="997"/>
      <c r="K62" s="997"/>
      <c r="L62" s="997"/>
      <c r="M62" s="997"/>
      <c r="N62" s="997"/>
      <c r="O62" s="997"/>
      <c r="P62" s="53"/>
      <c r="Q62" s="51"/>
      <c r="R62" s="51"/>
      <c r="S62" s="51"/>
      <c r="T62" s="51"/>
      <c r="U62" s="51"/>
      <c r="V62" s="51"/>
      <c r="W62" s="51"/>
      <c r="X62" s="51"/>
      <c r="Y62" s="51"/>
      <c r="Z62" s="51"/>
      <c r="AA62" s="51"/>
      <c r="AB62" s="51"/>
      <c r="AC62" s="51"/>
    </row>
    <row r="63" spans="1:29" customFormat="1" ht="29.25" customHeight="1">
      <c r="A63" s="207"/>
      <c r="B63" s="995" t="s">
        <v>161</v>
      </c>
      <c r="C63" s="995"/>
      <c r="D63" s="995"/>
      <c r="E63" s="995"/>
      <c r="F63" s="995"/>
      <c r="G63" s="995"/>
      <c r="H63" s="995"/>
      <c r="I63" s="995"/>
      <c r="J63" s="995"/>
      <c r="K63" s="995"/>
      <c r="L63" s="995"/>
      <c r="M63" s="995"/>
      <c r="N63" s="995"/>
      <c r="O63" s="995"/>
      <c r="P63" s="178"/>
    </row>
    <row r="64" spans="1:29" customFormat="1" ht="23.25" customHeight="1">
      <c r="A64" s="207">
        <v>28</v>
      </c>
      <c r="B64" s="996" t="s">
        <v>225</v>
      </c>
      <c r="C64" s="997"/>
      <c r="D64" s="997"/>
      <c r="E64" s="997"/>
      <c r="F64" s="997"/>
      <c r="G64" s="997"/>
      <c r="H64" s="997"/>
      <c r="I64" s="997"/>
      <c r="J64" s="997"/>
      <c r="K64" s="997"/>
      <c r="L64" s="997"/>
      <c r="M64" s="997"/>
      <c r="N64" s="997"/>
      <c r="O64" s="997"/>
      <c r="P64" s="178"/>
    </row>
    <row r="65" spans="1:16" ht="20.25" customHeight="1">
      <c r="B65" s="210"/>
      <c r="C65" s="181"/>
      <c r="D65" s="181"/>
      <c r="E65" s="181"/>
      <c r="F65" s="181"/>
      <c r="G65" s="181"/>
      <c r="H65" s="181"/>
      <c r="I65" s="181"/>
      <c r="J65" s="176"/>
      <c r="K65" s="176"/>
      <c r="L65" s="176"/>
      <c r="M65" s="176"/>
      <c r="N65" s="53"/>
      <c r="O65" s="53"/>
      <c r="P65" s="53"/>
    </row>
    <row r="66" spans="1:16" ht="26.25" customHeight="1">
      <c r="B66" s="211" t="s">
        <v>330</v>
      </c>
      <c r="C66" s="181"/>
      <c r="D66" s="181"/>
      <c r="E66" s="181"/>
      <c r="F66" s="181"/>
      <c r="G66" s="181"/>
      <c r="H66" s="181"/>
      <c r="I66" s="181"/>
      <c r="J66" s="176"/>
      <c r="K66" s="176"/>
      <c r="L66" s="176"/>
      <c r="M66" s="176"/>
      <c r="N66" s="53"/>
      <c r="O66" s="53"/>
      <c r="P66" s="53"/>
    </row>
    <row r="67" spans="1:16" ht="16.5" customHeight="1">
      <c r="A67" s="212"/>
      <c r="B67" s="1000" t="s">
        <v>275</v>
      </c>
      <c r="C67" s="1000"/>
      <c r="D67" s="1000"/>
      <c r="E67" s="1000"/>
      <c r="F67" s="1000"/>
      <c r="G67" s="1000"/>
      <c r="H67" s="1000"/>
      <c r="I67" s="1000"/>
      <c r="J67" s="53"/>
      <c r="K67" s="53"/>
      <c r="L67" s="53"/>
      <c r="M67" s="53"/>
      <c r="N67" s="53"/>
      <c r="O67" s="53"/>
      <c r="P67" s="53"/>
    </row>
    <row r="68" spans="1:16" ht="15.75" customHeight="1">
      <c r="A68" s="212"/>
      <c r="B68" s="203"/>
      <c r="C68" s="53"/>
      <c r="D68" s="53"/>
      <c r="E68" s="53"/>
      <c r="F68" s="53"/>
      <c r="G68" s="53"/>
      <c r="H68" s="53"/>
      <c r="I68" s="1001"/>
      <c r="J68" s="1001"/>
      <c r="K68" s="1001"/>
      <c r="L68" s="1001"/>
      <c r="M68" s="1001"/>
      <c r="N68" s="1001"/>
      <c r="O68" s="1001"/>
      <c r="P68" s="1001"/>
    </row>
    <row r="69" spans="1:16" ht="27.6" customHeight="1">
      <c r="A69" s="207">
        <v>1</v>
      </c>
      <c r="B69" s="999" t="s">
        <v>270</v>
      </c>
      <c r="C69" s="999"/>
      <c r="D69" s="999"/>
      <c r="E69" s="999"/>
      <c r="F69" s="999"/>
      <c r="G69" s="999"/>
      <c r="H69" s="999"/>
      <c r="I69" s="999"/>
      <c r="J69" s="999"/>
      <c r="K69" s="999"/>
      <c r="L69" s="999"/>
      <c r="M69" s="999"/>
      <c r="N69" s="999"/>
      <c r="O69" s="999"/>
      <c r="P69" s="53"/>
    </row>
    <row r="70" spans="1:16" ht="25.5" customHeight="1">
      <c r="A70" s="207">
        <v>2</v>
      </c>
      <c r="B70" s="999" t="s">
        <v>271</v>
      </c>
      <c r="C70" s="999"/>
      <c r="D70" s="999"/>
      <c r="E70" s="999"/>
      <c r="F70" s="999"/>
      <c r="G70" s="999"/>
      <c r="H70" s="999"/>
      <c r="I70" s="999"/>
      <c r="J70" s="999"/>
      <c r="K70" s="999"/>
      <c r="L70" s="999"/>
      <c r="M70" s="999"/>
      <c r="N70" s="999"/>
      <c r="O70" s="999"/>
      <c r="P70" s="53"/>
    </row>
    <row r="71" spans="1:16" ht="27.75" customHeight="1">
      <c r="A71" s="207">
        <v>3</v>
      </c>
      <c r="B71" s="999" t="s">
        <v>272</v>
      </c>
      <c r="C71" s="999"/>
      <c r="D71" s="999"/>
      <c r="E71" s="999"/>
      <c r="F71" s="999"/>
      <c r="G71" s="999"/>
      <c r="H71" s="999"/>
      <c r="I71" s="999"/>
      <c r="J71" s="999"/>
      <c r="K71" s="999"/>
      <c r="L71" s="999"/>
      <c r="M71" s="999"/>
      <c r="N71" s="999"/>
      <c r="O71" s="999"/>
      <c r="P71" s="53"/>
    </row>
    <row r="72" spans="1:16" ht="25.5" customHeight="1">
      <c r="A72" s="207">
        <v>4</v>
      </c>
      <c r="B72" s="999" t="s">
        <v>273</v>
      </c>
      <c r="C72" s="999"/>
      <c r="D72" s="999"/>
      <c r="E72" s="999"/>
      <c r="F72" s="999"/>
      <c r="G72" s="999"/>
      <c r="H72" s="999"/>
      <c r="I72" s="999"/>
      <c r="J72" s="999"/>
      <c r="K72" s="999"/>
      <c r="L72" s="999"/>
      <c r="M72" s="999"/>
      <c r="N72" s="999"/>
      <c r="O72" s="999"/>
      <c r="P72" s="53"/>
    </row>
    <row r="73" spans="1:16" ht="30" customHeight="1">
      <c r="A73" s="207">
        <v>5</v>
      </c>
      <c r="B73" s="999" t="s">
        <v>274</v>
      </c>
      <c r="C73" s="999"/>
      <c r="D73" s="999"/>
      <c r="E73" s="999"/>
      <c r="F73" s="999"/>
      <c r="G73" s="999"/>
      <c r="H73" s="999"/>
      <c r="I73" s="999"/>
      <c r="J73" s="999"/>
      <c r="K73" s="999"/>
      <c r="L73" s="999"/>
      <c r="M73" s="999"/>
      <c r="N73" s="999"/>
      <c r="O73" s="999"/>
      <c r="P73" s="53"/>
    </row>
    <row r="74" spans="1:16" ht="19.5" customHeight="1">
      <c r="A74" s="207">
        <v>6</v>
      </c>
      <c r="B74" s="994" t="s">
        <v>331</v>
      </c>
      <c r="C74" s="994"/>
      <c r="D74" s="994"/>
      <c r="E74" s="994"/>
      <c r="F74" s="994"/>
      <c r="G74" s="994"/>
      <c r="H74" s="994"/>
      <c r="I74" s="994"/>
      <c r="J74" s="994"/>
      <c r="K74" s="994"/>
      <c r="L74" s="994"/>
      <c r="M74" s="994"/>
      <c r="N74" s="994"/>
      <c r="O74" s="994"/>
      <c r="P74" s="53"/>
    </row>
    <row r="75" spans="1:16" ht="19.5" customHeight="1">
      <c r="B75" s="210"/>
      <c r="C75" s="181"/>
      <c r="D75" s="181"/>
      <c r="E75" s="181"/>
      <c r="F75" s="181"/>
      <c r="G75" s="181"/>
      <c r="H75" s="181"/>
      <c r="I75" s="181"/>
      <c r="J75" s="181"/>
      <c r="K75" s="181"/>
      <c r="L75" s="181"/>
      <c r="M75" s="181"/>
      <c r="N75" s="181"/>
      <c r="O75" s="181"/>
      <c r="P75" s="53"/>
    </row>
    <row r="76" spans="1:16">
      <c r="B76" s="1000" t="s">
        <v>256</v>
      </c>
      <c r="C76" s="1000"/>
      <c r="D76" s="1000"/>
      <c r="E76" s="1000"/>
      <c r="F76" s="1000"/>
      <c r="G76" s="1000"/>
      <c r="H76" s="1000"/>
      <c r="I76" s="1000"/>
      <c r="J76" s="184"/>
      <c r="K76" s="53"/>
      <c r="L76" s="53"/>
      <c r="M76" s="53"/>
      <c r="N76" s="53"/>
      <c r="O76" s="53"/>
      <c r="P76" s="53"/>
    </row>
    <row r="77" spans="1:16" ht="12" customHeight="1">
      <c r="B77" s="1013"/>
      <c r="C77" s="1013"/>
      <c r="D77" s="1013"/>
      <c r="E77" s="1013"/>
      <c r="F77" s="1013"/>
      <c r="G77" s="1013"/>
      <c r="H77" s="1013"/>
      <c r="I77" s="1013"/>
      <c r="J77" s="185"/>
      <c r="K77" s="53"/>
      <c r="L77" s="53"/>
      <c r="M77" s="53"/>
      <c r="N77" s="53"/>
      <c r="O77" s="53"/>
      <c r="P77" s="53"/>
    </row>
    <row r="78" spans="1:16" ht="12" customHeight="1">
      <c r="A78" s="207">
        <v>1</v>
      </c>
      <c r="B78" s="1012" t="s">
        <v>276</v>
      </c>
      <c r="C78" s="1012"/>
      <c r="D78" s="1012"/>
      <c r="E78" s="1012"/>
      <c r="F78" s="1012"/>
      <c r="G78" s="1012"/>
      <c r="H78" s="1012"/>
      <c r="I78" s="1012"/>
      <c r="J78" s="185"/>
      <c r="K78" s="53"/>
      <c r="L78" s="53"/>
      <c r="M78" s="53"/>
      <c r="N78" s="53"/>
      <c r="O78" s="53"/>
      <c r="P78" s="53"/>
    </row>
    <row r="79" spans="1:16" ht="12" customHeight="1">
      <c r="A79" s="207">
        <v>2</v>
      </c>
      <c r="B79" s="1012" t="s">
        <v>277</v>
      </c>
      <c r="C79" s="1012"/>
      <c r="D79" s="1012"/>
      <c r="E79" s="1012"/>
      <c r="F79" s="1012"/>
      <c r="G79" s="1012"/>
      <c r="H79" s="1012"/>
      <c r="I79" s="1012"/>
      <c r="J79" s="185"/>
      <c r="K79" s="53"/>
      <c r="L79" s="53"/>
      <c r="M79" s="53"/>
      <c r="N79" s="53"/>
      <c r="O79" s="53"/>
      <c r="P79" s="53"/>
    </row>
    <row r="80" spans="1:16" ht="12" customHeight="1">
      <c r="A80" s="207">
        <v>3</v>
      </c>
      <c r="B80" s="1012" t="s">
        <v>278</v>
      </c>
      <c r="C80" s="1012"/>
      <c r="D80" s="1012"/>
      <c r="E80" s="1012"/>
      <c r="F80" s="1012"/>
      <c r="G80" s="1012"/>
      <c r="H80" s="1012"/>
      <c r="I80" s="1012"/>
      <c r="J80" s="185"/>
      <c r="K80" s="53"/>
      <c r="L80" s="53"/>
      <c r="M80" s="53"/>
      <c r="N80" s="53"/>
      <c r="O80" s="53"/>
      <c r="P80" s="53"/>
    </row>
    <row r="81" spans="1:16" ht="15" customHeight="1">
      <c r="A81" s="207">
        <v>4</v>
      </c>
      <c r="B81" s="1012" t="s">
        <v>279</v>
      </c>
      <c r="C81" s="1012"/>
      <c r="D81" s="1012"/>
      <c r="E81" s="1012"/>
      <c r="F81" s="1012"/>
      <c r="G81" s="1012"/>
      <c r="H81" s="1012"/>
      <c r="I81" s="1012"/>
      <c r="J81" s="185"/>
      <c r="K81" s="53"/>
      <c r="L81" s="53"/>
      <c r="M81" s="53"/>
      <c r="N81" s="53"/>
      <c r="O81" s="53"/>
      <c r="P81" s="53"/>
    </row>
    <row r="82" spans="1:16" ht="30.75" customHeight="1">
      <c r="A82" s="207">
        <v>5</v>
      </c>
      <c r="B82" s="1012" t="s">
        <v>284</v>
      </c>
      <c r="C82" s="1012"/>
      <c r="D82" s="1012"/>
      <c r="E82" s="1012"/>
      <c r="F82" s="1012"/>
      <c r="G82" s="1012"/>
      <c r="H82" s="1012"/>
      <c r="I82" s="1012"/>
      <c r="J82" s="185"/>
      <c r="K82" s="53"/>
      <c r="L82" s="53"/>
      <c r="M82" s="53"/>
      <c r="N82" s="53"/>
      <c r="O82" s="53"/>
      <c r="P82" s="53"/>
    </row>
    <row r="83" spans="1:16" ht="28.5" customHeight="1">
      <c r="A83" s="207">
        <v>6</v>
      </c>
      <c r="B83" s="1012" t="s">
        <v>285</v>
      </c>
      <c r="C83" s="1012"/>
      <c r="D83" s="1012"/>
      <c r="E83" s="1012"/>
      <c r="F83" s="1012"/>
      <c r="G83" s="1012"/>
      <c r="H83" s="1012"/>
      <c r="I83" s="1012"/>
      <c r="J83" s="185"/>
      <c r="K83" s="53"/>
      <c r="L83" s="53"/>
      <c r="M83" s="53"/>
      <c r="N83" s="53"/>
      <c r="O83" s="53"/>
      <c r="P83" s="53"/>
    </row>
    <row r="84" spans="1:16" ht="25.5" customHeight="1">
      <c r="A84" s="207">
        <v>7</v>
      </c>
      <c r="B84" s="1012" t="s">
        <v>280</v>
      </c>
      <c r="C84" s="1012"/>
      <c r="D84" s="1012"/>
      <c r="E84" s="1012"/>
      <c r="F84" s="1012"/>
      <c r="G84" s="1012"/>
      <c r="H84" s="1012"/>
      <c r="I84" s="1012"/>
      <c r="J84" s="185"/>
      <c r="K84" s="53"/>
      <c r="L84" s="53"/>
      <c r="M84" s="53"/>
      <c r="N84" s="53"/>
      <c r="O84" s="53"/>
      <c r="P84" s="53"/>
    </row>
    <row r="85" spans="1:16" ht="15.75" customHeight="1">
      <c r="A85" s="207">
        <v>8</v>
      </c>
      <c r="B85" s="1012" t="s">
        <v>281</v>
      </c>
      <c r="C85" s="1012"/>
      <c r="D85" s="1012"/>
      <c r="E85" s="1012"/>
      <c r="F85" s="1012"/>
      <c r="G85" s="1012"/>
      <c r="H85" s="1012"/>
      <c r="I85" s="1012"/>
      <c r="J85" s="185"/>
      <c r="K85" s="53"/>
      <c r="L85" s="53"/>
      <c r="M85" s="53"/>
      <c r="N85" s="53"/>
      <c r="O85" s="53"/>
      <c r="P85" s="53"/>
    </row>
    <row r="86" spans="1:16" ht="42" customHeight="1">
      <c r="A86" s="207">
        <v>9</v>
      </c>
      <c r="B86" s="1012" t="s">
        <v>282</v>
      </c>
      <c r="C86" s="1012"/>
      <c r="D86" s="1012"/>
      <c r="E86" s="1012"/>
      <c r="F86" s="1012"/>
      <c r="G86" s="1012"/>
      <c r="H86" s="1012"/>
      <c r="I86" s="1012"/>
      <c r="J86" s="185"/>
      <c r="K86" s="53"/>
      <c r="L86" s="53"/>
      <c r="M86" s="53"/>
      <c r="N86" s="53"/>
      <c r="O86" s="53"/>
      <c r="P86" s="53"/>
    </row>
    <row r="87" spans="1:16" ht="57.75" customHeight="1">
      <c r="A87" s="207">
        <v>10</v>
      </c>
      <c r="B87" s="1012" t="s">
        <v>283</v>
      </c>
      <c r="C87" s="1012"/>
      <c r="D87" s="1012"/>
      <c r="E87" s="1012"/>
      <c r="F87" s="1012"/>
      <c r="G87" s="1012"/>
      <c r="H87" s="1012"/>
      <c r="I87" s="1012"/>
      <c r="J87" s="185"/>
      <c r="K87" s="53"/>
      <c r="L87" s="53"/>
      <c r="M87" s="53"/>
      <c r="N87" s="53"/>
      <c r="O87" s="53"/>
      <c r="P87" s="53"/>
    </row>
    <row r="88" spans="1:16" ht="15.75" customHeight="1">
      <c r="B88" s="1022"/>
      <c r="C88" s="1022"/>
      <c r="D88" s="1022"/>
      <c r="E88" s="1022"/>
      <c r="F88" s="1022"/>
      <c r="G88" s="1022"/>
      <c r="H88" s="1022"/>
      <c r="I88" s="1022"/>
      <c r="J88" s="185"/>
      <c r="K88" s="53"/>
      <c r="L88" s="53"/>
      <c r="M88" s="53"/>
      <c r="N88" s="53"/>
      <c r="O88" s="53"/>
      <c r="P88" s="53"/>
    </row>
    <row r="89" spans="1:16">
      <c r="B89" s="1000" t="s">
        <v>286</v>
      </c>
      <c r="C89" s="1000"/>
      <c r="D89" s="1000"/>
      <c r="E89" s="1000"/>
      <c r="F89" s="1000"/>
      <c r="G89" s="1000"/>
      <c r="H89" s="1000"/>
      <c r="I89" s="1000"/>
      <c r="J89" s="53"/>
      <c r="K89" s="53"/>
      <c r="L89" s="53"/>
      <c r="M89" s="53"/>
      <c r="N89" s="53"/>
      <c r="O89" s="53"/>
      <c r="P89" s="53"/>
    </row>
    <row r="90" spans="1:16">
      <c r="B90" s="1001"/>
      <c r="C90" s="1001"/>
      <c r="D90" s="1001"/>
      <c r="E90" s="1001"/>
      <c r="F90" s="1001"/>
      <c r="G90" s="1001"/>
      <c r="H90" s="1001"/>
      <c r="I90" s="1001"/>
      <c r="J90" s="53"/>
      <c r="K90" s="53"/>
      <c r="L90" s="53"/>
      <c r="M90" s="53"/>
      <c r="N90" s="53"/>
      <c r="O90" s="53"/>
      <c r="P90" s="53"/>
    </row>
    <row r="91" spans="1:16" ht="27.75" customHeight="1">
      <c r="A91" s="207">
        <v>1</v>
      </c>
      <c r="B91" s="1021" t="s">
        <v>291</v>
      </c>
      <c r="C91" s="1021"/>
      <c r="D91" s="1021"/>
      <c r="E91" s="1021"/>
      <c r="F91" s="1021"/>
      <c r="G91" s="1021"/>
      <c r="H91" s="1021"/>
      <c r="I91" s="1021"/>
      <c r="J91" s="53"/>
      <c r="K91" s="53"/>
      <c r="L91" s="53"/>
      <c r="M91" s="53"/>
      <c r="N91" s="53"/>
      <c r="O91" s="53"/>
      <c r="P91" s="53"/>
    </row>
    <row r="92" spans="1:16" ht="15.75" customHeight="1">
      <c r="B92" s="1000" t="s">
        <v>48</v>
      </c>
      <c r="C92" s="1000"/>
      <c r="D92" s="1000"/>
      <c r="E92" s="1000"/>
      <c r="F92" s="1000"/>
      <c r="G92" s="1000"/>
      <c r="H92" s="1000"/>
      <c r="I92" s="1000"/>
      <c r="J92" s="53"/>
      <c r="K92" s="53"/>
      <c r="L92" s="53"/>
      <c r="M92" s="53"/>
      <c r="N92" s="53"/>
      <c r="O92" s="53"/>
      <c r="P92" s="53"/>
    </row>
    <row r="93" spans="1:16" ht="38.25" customHeight="1">
      <c r="A93" s="207">
        <v>2</v>
      </c>
      <c r="B93" s="1021" t="s">
        <v>270</v>
      </c>
      <c r="C93" s="1021"/>
      <c r="D93" s="1021"/>
      <c r="E93" s="1021"/>
      <c r="F93" s="1021"/>
      <c r="G93" s="1021"/>
      <c r="H93" s="1021"/>
      <c r="I93" s="1021"/>
      <c r="J93" s="53"/>
      <c r="K93" s="53"/>
      <c r="L93" s="53"/>
      <c r="M93" s="53"/>
      <c r="N93" s="53"/>
      <c r="O93" s="53"/>
      <c r="P93" s="53"/>
    </row>
    <row r="94" spans="1:16" ht="46.5" customHeight="1">
      <c r="A94" s="207">
        <v>3</v>
      </c>
      <c r="B94" s="1021" t="s">
        <v>295</v>
      </c>
      <c r="C94" s="1021"/>
      <c r="D94" s="1021"/>
      <c r="E94" s="1021"/>
      <c r="F94" s="1021"/>
      <c r="G94" s="1021"/>
      <c r="H94" s="1021"/>
      <c r="I94" s="1021"/>
      <c r="J94" s="53"/>
      <c r="K94" s="53"/>
      <c r="L94" s="53"/>
      <c r="M94" s="53"/>
      <c r="N94" s="53"/>
      <c r="O94" s="53"/>
      <c r="P94" s="53"/>
    </row>
    <row r="95" spans="1:16" ht="80.25" customHeight="1">
      <c r="A95" s="207">
        <v>4</v>
      </c>
      <c r="B95" s="1021" t="s">
        <v>296</v>
      </c>
      <c r="C95" s="1021"/>
      <c r="D95" s="1021"/>
      <c r="E95" s="1021"/>
      <c r="F95" s="1021"/>
      <c r="G95" s="1021"/>
      <c r="H95" s="1021"/>
      <c r="I95" s="1021"/>
      <c r="J95" s="53"/>
      <c r="K95" s="53"/>
      <c r="L95" s="53"/>
      <c r="M95" s="53"/>
      <c r="N95" s="53"/>
      <c r="O95" s="53"/>
      <c r="P95" s="53"/>
    </row>
    <row r="96" spans="1:16" ht="15.75" customHeight="1">
      <c r="B96" s="1022"/>
      <c r="C96" s="1022"/>
      <c r="D96" s="1022"/>
      <c r="E96" s="1022"/>
      <c r="F96" s="1022"/>
      <c r="G96" s="1022"/>
      <c r="H96" s="1022"/>
      <c r="I96" s="1022"/>
      <c r="J96" s="53"/>
      <c r="K96" s="53"/>
      <c r="L96" s="53"/>
      <c r="M96" s="53"/>
      <c r="N96" s="53"/>
      <c r="O96" s="53"/>
      <c r="P96" s="53"/>
    </row>
    <row r="97" spans="1:19" ht="15.75" customHeight="1">
      <c r="B97" s="213"/>
      <c r="C97" s="186"/>
      <c r="D97" s="186"/>
      <c r="E97" s="186"/>
      <c r="F97" s="186"/>
      <c r="G97" s="186"/>
      <c r="H97" s="186"/>
      <c r="I97" s="186"/>
      <c r="J97" s="53"/>
      <c r="K97" s="53"/>
      <c r="L97" s="53"/>
      <c r="M97" s="53"/>
      <c r="N97" s="53"/>
      <c r="O97" s="53"/>
      <c r="P97" s="53"/>
    </row>
    <row r="98" spans="1:19" ht="39.75" customHeight="1">
      <c r="B98" s="998" t="s">
        <v>41</v>
      </c>
      <c r="C98" s="998"/>
      <c r="D98" s="998"/>
      <c r="E98" s="998"/>
      <c r="F98" s="998"/>
      <c r="G98" s="998"/>
      <c r="H98" s="998"/>
      <c r="I98" s="998"/>
      <c r="J98" s="998"/>
      <c r="K98" s="998"/>
      <c r="L98" s="998"/>
      <c r="M98" s="998"/>
      <c r="N98" s="998"/>
      <c r="O98" s="998"/>
      <c r="P98" s="187"/>
      <c r="Q98" s="101"/>
      <c r="R98" s="101"/>
      <c r="S98" s="101"/>
    </row>
    <row r="99" spans="1:19">
      <c r="A99" s="207">
        <v>1</v>
      </c>
      <c r="B99" s="1014" t="s">
        <v>301</v>
      </c>
      <c r="C99" s="1014"/>
      <c r="D99" s="1014"/>
      <c r="E99" s="1014"/>
      <c r="F99" s="1014"/>
      <c r="G99" s="1014"/>
      <c r="H99" s="1014"/>
      <c r="I99" s="1014"/>
      <c r="J99" s="188"/>
      <c r="K99" s="188"/>
      <c r="L99" s="188"/>
      <c r="M99" s="188"/>
      <c r="N99" s="188"/>
      <c r="O99" s="188"/>
      <c r="P99" s="188"/>
      <c r="Q99" s="102"/>
      <c r="R99" s="102"/>
      <c r="S99" s="102"/>
    </row>
    <row r="100" spans="1:19">
      <c r="B100" s="1014"/>
      <c r="C100" s="1014"/>
      <c r="D100" s="1014"/>
      <c r="E100" s="1014"/>
      <c r="F100" s="1014"/>
      <c r="G100" s="1014"/>
      <c r="H100" s="1014"/>
      <c r="I100" s="1014"/>
      <c r="J100" s="188"/>
      <c r="K100" s="188"/>
      <c r="L100" s="188"/>
      <c r="M100" s="188"/>
      <c r="N100" s="188"/>
      <c r="O100" s="188"/>
      <c r="P100" s="188"/>
      <c r="Q100" s="102"/>
      <c r="R100" s="102"/>
      <c r="S100" s="102"/>
    </row>
    <row r="101" spans="1:19">
      <c r="B101" s="1015"/>
      <c r="C101" s="1015"/>
      <c r="D101" s="1015"/>
      <c r="E101" s="1015"/>
      <c r="F101" s="1015"/>
      <c r="G101" s="1015"/>
      <c r="H101" s="1015"/>
      <c r="I101" s="1015"/>
      <c r="J101" s="189"/>
      <c r="K101" s="189"/>
      <c r="L101" s="188"/>
      <c r="M101" s="188"/>
      <c r="N101" s="188"/>
      <c r="O101" s="188"/>
      <c r="P101" s="188"/>
      <c r="Q101" s="102"/>
      <c r="R101" s="102"/>
      <c r="S101" s="102"/>
    </row>
    <row r="102" spans="1:19" ht="15" customHeight="1">
      <c r="B102" s="998" t="s">
        <v>44</v>
      </c>
      <c r="C102" s="998"/>
      <c r="D102" s="998"/>
      <c r="E102" s="998"/>
      <c r="F102" s="998"/>
      <c r="G102" s="998"/>
      <c r="H102" s="998"/>
      <c r="I102" s="998"/>
      <c r="J102" s="998"/>
      <c r="K102" s="998"/>
      <c r="L102" s="998"/>
      <c r="M102" s="998"/>
      <c r="N102" s="998"/>
      <c r="O102" s="998"/>
      <c r="P102" s="190"/>
      <c r="Q102" s="104"/>
      <c r="R102" s="1024"/>
      <c r="S102" s="1024"/>
    </row>
    <row r="103" spans="1:19">
      <c r="B103" s="1016"/>
      <c r="C103" s="1016"/>
      <c r="D103" s="1016"/>
      <c r="E103" s="1016"/>
      <c r="F103" s="1016"/>
      <c r="G103" s="1016"/>
      <c r="H103" s="1016"/>
      <c r="I103" s="1016"/>
      <c r="J103" s="191"/>
      <c r="K103" s="191"/>
      <c r="L103" s="191"/>
      <c r="M103" s="191"/>
      <c r="N103" s="191"/>
      <c r="O103" s="191"/>
      <c r="P103" s="191"/>
      <c r="Q103" s="105"/>
      <c r="R103" s="105"/>
      <c r="S103" s="105"/>
    </row>
    <row r="104" spans="1:19">
      <c r="A104" s="207">
        <v>1</v>
      </c>
      <c r="B104" s="1014" t="s">
        <v>302</v>
      </c>
      <c r="C104" s="1014"/>
      <c r="D104" s="1014"/>
      <c r="E104" s="1014"/>
      <c r="F104" s="1014"/>
      <c r="G104" s="1014"/>
      <c r="H104" s="1014"/>
      <c r="I104" s="1014"/>
      <c r="J104" s="191"/>
      <c r="K104" s="191"/>
      <c r="L104" s="191"/>
      <c r="M104" s="191"/>
      <c r="N104" s="191"/>
      <c r="O104" s="191"/>
      <c r="P104" s="191"/>
      <c r="Q104" s="105"/>
      <c r="R104" s="105"/>
      <c r="S104" s="105"/>
    </row>
    <row r="105" spans="1:19">
      <c r="B105" s="1015"/>
      <c r="C105" s="1015"/>
      <c r="D105" s="1015"/>
      <c r="E105" s="1015"/>
      <c r="F105" s="1015"/>
      <c r="G105" s="1015"/>
      <c r="H105" s="1015"/>
      <c r="I105" s="1015"/>
      <c r="J105" s="191"/>
      <c r="K105" s="191"/>
      <c r="L105" s="191"/>
      <c r="M105" s="191"/>
      <c r="N105" s="191"/>
      <c r="O105" s="191"/>
      <c r="P105" s="191"/>
      <c r="Q105" s="105"/>
      <c r="R105" s="105"/>
      <c r="S105" s="105"/>
    </row>
    <row r="106" spans="1:19" s="63" customFormat="1" ht="32.25" customHeight="1">
      <c r="A106" s="207"/>
      <c r="B106" s="998" t="s">
        <v>43</v>
      </c>
      <c r="C106" s="998"/>
      <c r="D106" s="998"/>
      <c r="E106" s="998"/>
      <c r="F106" s="998"/>
      <c r="G106" s="998"/>
      <c r="H106" s="998"/>
      <c r="I106" s="998"/>
      <c r="J106" s="998"/>
      <c r="K106" s="998"/>
      <c r="L106" s="998"/>
      <c r="M106" s="998"/>
      <c r="N106" s="998"/>
      <c r="O106" s="998"/>
      <c r="P106" s="192"/>
      <c r="Q106" s="112"/>
      <c r="R106" s="112"/>
      <c r="S106" s="112"/>
    </row>
    <row r="107" spans="1:19" s="63" customFormat="1">
      <c r="A107" s="207"/>
      <c r="B107" s="1007"/>
      <c r="C107" s="1007"/>
      <c r="D107" s="1007"/>
      <c r="E107" s="1007"/>
      <c r="F107" s="1007"/>
      <c r="G107" s="1007"/>
      <c r="H107" s="1007"/>
      <c r="I107" s="1007"/>
      <c r="J107" s="112"/>
      <c r="K107" s="112"/>
      <c r="L107" s="112"/>
      <c r="M107" s="112"/>
      <c r="N107" s="112"/>
      <c r="O107" s="112"/>
      <c r="P107" s="112"/>
      <c r="Q107" s="112"/>
      <c r="R107" s="112"/>
      <c r="S107" s="112"/>
    </row>
    <row r="108" spans="1:19" s="63" customFormat="1" ht="15" customHeight="1">
      <c r="A108" s="207">
        <v>1</v>
      </c>
      <c r="B108" s="1008" t="s">
        <v>305</v>
      </c>
      <c r="C108" s="1008"/>
      <c r="D108" s="1008"/>
      <c r="E108" s="1008"/>
      <c r="F108" s="1008"/>
      <c r="G108" s="1008"/>
      <c r="H108" s="1008"/>
      <c r="I108" s="1008"/>
      <c r="J108" s="112"/>
      <c r="K108" s="112"/>
      <c r="L108" s="112"/>
      <c r="M108" s="112"/>
      <c r="N108" s="112"/>
      <c r="O108" s="112"/>
      <c r="P108" s="112"/>
      <c r="Q108" s="112"/>
      <c r="R108" s="112"/>
      <c r="S108" s="112"/>
    </row>
    <row r="109" spans="1:19" s="63" customFormat="1">
      <c r="A109" s="207"/>
      <c r="B109" s="1007"/>
      <c r="C109" s="1007"/>
      <c r="D109" s="1007"/>
      <c r="E109" s="1007"/>
      <c r="F109" s="1007"/>
      <c r="G109" s="1007"/>
      <c r="H109" s="1007"/>
      <c r="I109" s="1007"/>
      <c r="J109" s="112"/>
      <c r="K109" s="112"/>
      <c r="L109" s="112"/>
      <c r="M109" s="112"/>
      <c r="N109" s="112"/>
      <c r="O109" s="112"/>
      <c r="P109" s="112"/>
      <c r="Q109" s="112"/>
      <c r="R109" s="112"/>
      <c r="S109" s="112"/>
    </row>
    <row r="110" spans="1:19" s="63" customFormat="1" ht="29.25" customHeight="1">
      <c r="A110" s="207"/>
      <c r="B110" s="1006" t="s">
        <v>67</v>
      </c>
      <c r="C110" s="1006"/>
      <c r="D110" s="1006"/>
      <c r="E110" s="1006"/>
      <c r="F110" s="1006"/>
      <c r="G110" s="1006"/>
      <c r="H110" s="1006"/>
      <c r="I110" s="1006"/>
      <c r="J110" s="1006"/>
      <c r="K110" s="1006"/>
      <c r="L110" s="1006"/>
      <c r="M110" s="1006"/>
      <c r="N110" s="1006"/>
      <c r="O110" s="1006"/>
      <c r="P110" s="112"/>
      <c r="Q110" s="112"/>
      <c r="R110" s="112"/>
      <c r="S110" s="112"/>
    </row>
    <row r="111" spans="1:19" s="63" customFormat="1" ht="29.25" customHeight="1">
      <c r="A111" s="207"/>
      <c r="B111" s="214"/>
      <c r="C111" s="193"/>
      <c r="D111" s="193"/>
      <c r="E111" s="193"/>
      <c r="F111" s="193"/>
      <c r="G111" s="193"/>
      <c r="H111" s="193"/>
      <c r="I111" s="193"/>
      <c r="J111" s="193"/>
      <c r="K111" s="193"/>
      <c r="L111" s="193"/>
      <c r="M111" s="193"/>
      <c r="N111" s="193"/>
      <c r="O111" s="193"/>
      <c r="P111" s="112"/>
      <c r="Q111" s="112"/>
      <c r="R111" s="112"/>
      <c r="S111" s="112"/>
    </row>
    <row r="112" spans="1:19" s="63" customFormat="1">
      <c r="A112" s="207"/>
      <c r="B112" s="1004" t="s">
        <v>68</v>
      </c>
      <c r="C112" s="1004"/>
      <c r="D112" s="1004"/>
      <c r="E112" s="1004"/>
      <c r="F112" s="1004"/>
      <c r="G112" s="1004"/>
      <c r="H112" s="1004"/>
      <c r="I112" s="1004"/>
      <c r="J112" s="112"/>
      <c r="K112" s="112"/>
      <c r="L112" s="112"/>
      <c r="M112" s="112"/>
      <c r="N112" s="112"/>
      <c r="O112" s="112"/>
      <c r="P112" s="112"/>
      <c r="Q112" s="112"/>
      <c r="R112" s="112"/>
      <c r="S112" s="112"/>
    </row>
    <row r="113" spans="1:19" s="63" customFormat="1">
      <c r="A113" s="207"/>
      <c r="B113" s="1007"/>
      <c r="C113" s="1007"/>
      <c r="D113" s="1007"/>
      <c r="E113" s="1007"/>
      <c r="F113" s="1007"/>
      <c r="G113" s="1007"/>
      <c r="H113" s="1007"/>
      <c r="I113" s="1007"/>
      <c r="J113" s="112"/>
      <c r="K113" s="112"/>
      <c r="L113" s="112"/>
      <c r="M113" s="112"/>
      <c r="N113" s="112"/>
      <c r="O113" s="112"/>
      <c r="P113" s="112"/>
      <c r="Q113" s="112"/>
      <c r="R113" s="112"/>
      <c r="S113" s="112"/>
    </row>
    <row r="114" spans="1:19" s="63" customFormat="1">
      <c r="A114" s="207">
        <v>1</v>
      </c>
      <c r="B114" s="1008" t="s">
        <v>306</v>
      </c>
      <c r="C114" s="1008"/>
      <c r="D114" s="1008"/>
      <c r="E114" s="1008"/>
      <c r="F114" s="1008"/>
      <c r="G114" s="1008"/>
      <c r="H114" s="1008"/>
      <c r="I114" s="1008"/>
      <c r="J114" s="206"/>
      <c r="K114" s="206"/>
      <c r="L114" s="206"/>
      <c r="M114" s="206"/>
      <c r="N114" s="206"/>
      <c r="O114" s="206"/>
      <c r="R114" s="112"/>
      <c r="S114" s="112"/>
    </row>
    <row r="115" spans="1:19" s="63" customFormat="1">
      <c r="A115" s="207">
        <v>2</v>
      </c>
      <c r="B115" s="1008" t="s">
        <v>307</v>
      </c>
      <c r="C115" s="1008"/>
      <c r="D115" s="1008"/>
      <c r="E115" s="1008"/>
      <c r="F115" s="1008"/>
      <c r="G115" s="1008"/>
      <c r="H115" s="1008"/>
      <c r="I115" s="1008"/>
      <c r="J115" s="206"/>
      <c r="K115" s="206"/>
      <c r="L115" s="206"/>
      <c r="M115" s="206"/>
      <c r="N115" s="206"/>
      <c r="O115" s="206"/>
      <c r="R115" s="112"/>
      <c r="S115" s="112"/>
    </row>
    <row r="116" spans="1:19" s="63" customFormat="1">
      <c r="A116" s="207"/>
      <c r="B116" s="1007"/>
      <c r="C116" s="1007"/>
      <c r="D116" s="1007"/>
      <c r="E116" s="1007"/>
      <c r="F116" s="1007"/>
      <c r="G116" s="1007"/>
      <c r="H116" s="1007"/>
      <c r="I116" s="1007"/>
      <c r="J116" s="112"/>
      <c r="K116" s="112"/>
      <c r="L116" s="112"/>
      <c r="M116" s="112"/>
      <c r="N116" s="112"/>
      <c r="O116" s="112"/>
      <c r="P116" s="112"/>
      <c r="Q116" s="112"/>
      <c r="R116" s="112"/>
      <c r="S116" s="112"/>
    </row>
    <row r="117" spans="1:19" s="63" customFormat="1" ht="30.75" customHeight="1">
      <c r="A117" s="207"/>
      <c r="B117" s="1004" t="s">
        <v>69</v>
      </c>
      <c r="C117" s="1004"/>
      <c r="D117" s="1004"/>
      <c r="E117" s="1004"/>
      <c r="F117" s="1004"/>
      <c r="G117" s="1004"/>
      <c r="H117" s="1004"/>
      <c r="I117" s="1004"/>
      <c r="J117" s="112"/>
      <c r="K117" s="112"/>
      <c r="L117" s="112"/>
      <c r="M117" s="112"/>
      <c r="N117" s="112"/>
      <c r="O117" s="112"/>
      <c r="P117" s="112"/>
      <c r="Q117" s="112"/>
      <c r="R117" s="112"/>
      <c r="S117" s="112"/>
    </row>
    <row r="118" spans="1:19" s="63" customFormat="1" ht="12" customHeight="1">
      <c r="A118" s="207"/>
      <c r="B118" s="1007"/>
      <c r="C118" s="1007"/>
      <c r="D118" s="1007"/>
      <c r="E118" s="1007"/>
      <c r="F118" s="1007"/>
      <c r="G118" s="1007"/>
      <c r="H118" s="1007"/>
      <c r="I118" s="1007"/>
      <c r="J118" s="112"/>
      <c r="K118" s="112"/>
      <c r="L118" s="112"/>
      <c r="M118" s="112"/>
      <c r="N118" s="112"/>
      <c r="O118" s="112"/>
      <c r="P118" s="112"/>
      <c r="Q118" s="112"/>
      <c r="R118" s="112"/>
      <c r="S118" s="112"/>
    </row>
    <row r="119" spans="1:19" s="63" customFormat="1" ht="15" customHeight="1">
      <c r="A119" s="207">
        <v>1</v>
      </c>
      <c r="B119" s="1008" t="s">
        <v>306</v>
      </c>
      <c r="C119" s="1008"/>
      <c r="D119" s="1008"/>
      <c r="E119" s="1008"/>
      <c r="F119" s="1008"/>
      <c r="G119" s="1008"/>
      <c r="H119" s="1008"/>
      <c r="I119" s="1008"/>
      <c r="J119" s="112"/>
      <c r="K119" s="112"/>
      <c r="L119" s="112"/>
      <c r="M119" s="112"/>
      <c r="N119" s="112"/>
      <c r="O119" s="112"/>
      <c r="P119" s="112"/>
      <c r="Q119" s="112"/>
      <c r="R119" s="112"/>
      <c r="S119" s="112"/>
    </row>
    <row r="120" spans="1:19" ht="15" customHeight="1">
      <c r="B120" s="1010"/>
      <c r="C120" s="1010"/>
      <c r="D120" s="1010"/>
      <c r="E120" s="1010"/>
      <c r="F120" s="1010"/>
      <c r="G120" s="1010"/>
      <c r="H120" s="1010"/>
      <c r="I120" s="1010"/>
      <c r="J120" s="105"/>
      <c r="K120" s="105"/>
      <c r="L120" s="105"/>
      <c r="M120" s="105"/>
      <c r="N120" s="105"/>
      <c r="O120" s="105"/>
      <c r="P120" s="105"/>
      <c r="Q120" s="105"/>
      <c r="R120" s="105"/>
      <c r="S120" s="105"/>
    </row>
    <row r="121" spans="1:19" ht="17.25" customHeight="1">
      <c r="B121" s="1003" t="s">
        <v>49</v>
      </c>
      <c r="C121" s="1003"/>
      <c r="D121" s="1003"/>
      <c r="E121" s="1003"/>
      <c r="F121" s="1003"/>
      <c r="G121" s="1003"/>
      <c r="H121" s="1003"/>
      <c r="I121" s="1003"/>
      <c r="J121" s="105"/>
      <c r="K121" s="105"/>
      <c r="L121" s="105"/>
      <c r="M121" s="105"/>
      <c r="N121" s="105"/>
      <c r="O121" s="105"/>
      <c r="P121" s="105"/>
      <c r="Q121" s="105"/>
      <c r="R121" s="105"/>
      <c r="S121" s="105"/>
    </row>
    <row r="122" spans="1:19" ht="12" customHeight="1">
      <c r="B122" s="1009"/>
      <c r="C122" s="1009"/>
      <c r="D122" s="1009"/>
      <c r="E122" s="1009"/>
      <c r="F122" s="1009"/>
      <c r="G122" s="1009"/>
      <c r="H122" s="1009"/>
      <c r="I122" s="1009"/>
      <c r="J122" s="105"/>
      <c r="K122" s="105"/>
      <c r="L122" s="105"/>
      <c r="M122" s="105"/>
      <c r="N122" s="105"/>
      <c r="O122" s="105"/>
      <c r="P122" s="105"/>
      <c r="Q122" s="105"/>
      <c r="R122" s="105"/>
      <c r="S122" s="105"/>
    </row>
    <row r="123" spans="1:19" ht="15.75" customHeight="1">
      <c r="A123" s="207">
        <v>1</v>
      </c>
      <c r="B123" s="1011" t="s">
        <v>314</v>
      </c>
      <c r="C123" s="1011"/>
      <c r="D123" s="1011"/>
      <c r="E123" s="1011"/>
      <c r="F123" s="1011"/>
      <c r="G123" s="1011"/>
      <c r="H123" s="1011"/>
      <c r="I123" s="1011"/>
      <c r="J123" s="105"/>
      <c r="K123" s="105"/>
      <c r="L123" s="106"/>
      <c r="M123" s="106"/>
      <c r="N123" s="106"/>
      <c r="O123" s="106"/>
      <c r="P123" s="106"/>
      <c r="Q123" s="106"/>
      <c r="R123" s="106"/>
      <c r="S123" s="106"/>
    </row>
    <row r="124" spans="1:19" ht="42.75" customHeight="1">
      <c r="A124" s="207">
        <v>2</v>
      </c>
      <c r="B124" s="1011" t="s">
        <v>315</v>
      </c>
      <c r="C124" s="1011"/>
      <c r="D124" s="1011"/>
      <c r="E124" s="1011"/>
      <c r="F124" s="1011"/>
      <c r="G124" s="1011"/>
      <c r="H124" s="1011"/>
      <c r="I124" s="1011"/>
      <c r="J124" s="102"/>
      <c r="K124" s="102"/>
      <c r="L124" s="107"/>
      <c r="M124" s="107"/>
      <c r="N124" s="107"/>
      <c r="O124" s="107"/>
      <c r="P124" s="107"/>
      <c r="Q124" s="107"/>
      <c r="R124" s="107"/>
      <c r="S124" s="107"/>
    </row>
    <row r="125" spans="1:19" ht="30.75" customHeight="1">
      <c r="A125" s="207">
        <v>3</v>
      </c>
      <c r="B125" s="1011" t="s">
        <v>316</v>
      </c>
      <c r="C125" s="1011"/>
      <c r="D125" s="1011"/>
      <c r="E125" s="1011"/>
      <c r="F125" s="1011"/>
      <c r="G125" s="1011"/>
      <c r="H125" s="1011"/>
      <c r="I125" s="1011"/>
      <c r="J125" s="102"/>
      <c r="K125" s="102"/>
      <c r="L125" s="107"/>
      <c r="M125" s="107"/>
      <c r="N125" s="107"/>
      <c r="O125" s="107"/>
      <c r="P125" s="107"/>
      <c r="Q125" s="107"/>
      <c r="R125" s="107"/>
      <c r="S125" s="107"/>
    </row>
    <row r="126" spans="1:19" ht="30" customHeight="1">
      <c r="A126" s="207">
        <v>4</v>
      </c>
      <c r="B126" s="1011" t="s">
        <v>317</v>
      </c>
      <c r="C126" s="1011"/>
      <c r="D126" s="1011"/>
      <c r="E126" s="1011"/>
      <c r="F126" s="1011"/>
      <c r="G126" s="1011"/>
      <c r="H126" s="1011"/>
      <c r="I126" s="1011"/>
      <c r="J126" s="102"/>
      <c r="K126" s="102"/>
      <c r="L126" s="107"/>
      <c r="M126" s="107"/>
      <c r="N126" s="107"/>
      <c r="O126" s="107"/>
      <c r="P126" s="107"/>
      <c r="Q126" s="107"/>
      <c r="R126" s="107"/>
      <c r="S126" s="107"/>
    </row>
    <row r="127" spans="1:19" ht="27.75" customHeight="1">
      <c r="A127" s="207">
        <v>5</v>
      </c>
      <c r="B127" s="1011" t="s">
        <v>318</v>
      </c>
      <c r="C127" s="1011"/>
      <c r="D127" s="1011"/>
      <c r="E127" s="1011"/>
      <c r="F127" s="1011"/>
      <c r="G127" s="1011"/>
      <c r="H127" s="1011"/>
      <c r="I127" s="1011"/>
      <c r="J127" s="102"/>
      <c r="K127" s="102"/>
      <c r="L127" s="107"/>
      <c r="M127" s="107"/>
      <c r="N127" s="107"/>
      <c r="O127" s="107"/>
      <c r="P127" s="107"/>
      <c r="Q127" s="107"/>
      <c r="R127" s="107"/>
      <c r="S127" s="107"/>
    </row>
    <row r="128" spans="1:19" ht="13.5" customHeight="1">
      <c r="B128" s="1019"/>
      <c r="C128" s="1019"/>
      <c r="D128" s="1019"/>
      <c r="E128" s="1019"/>
      <c r="F128" s="1019"/>
      <c r="G128" s="1019"/>
      <c r="H128" s="1019"/>
      <c r="I128" s="1019"/>
      <c r="J128" s="103"/>
      <c r="K128" s="103"/>
      <c r="L128" s="107"/>
      <c r="M128" s="107"/>
      <c r="N128" s="107"/>
      <c r="O128" s="107"/>
      <c r="P128" s="107"/>
      <c r="Q128" s="107"/>
      <c r="R128" s="107"/>
      <c r="S128" s="107"/>
    </row>
    <row r="129" spans="1:19" ht="13.5" customHeight="1">
      <c r="B129" s="1004" t="s">
        <v>30</v>
      </c>
      <c r="C129" s="1004"/>
      <c r="D129" s="1004"/>
      <c r="E129" s="1004"/>
      <c r="F129" s="1004"/>
      <c r="G129" s="1004"/>
      <c r="H129" s="1004"/>
      <c r="I129" s="1004"/>
      <c r="J129" s="103"/>
      <c r="K129" s="103"/>
      <c r="L129" s="107"/>
      <c r="M129" s="107"/>
      <c r="N129" s="107"/>
      <c r="O129" s="107"/>
      <c r="P129" s="107"/>
      <c r="Q129" s="107"/>
      <c r="R129" s="107"/>
      <c r="S129" s="107"/>
    </row>
    <row r="130" spans="1:19" ht="28.5" customHeight="1">
      <c r="A130" s="207">
        <v>6</v>
      </c>
      <c r="B130" s="1011" t="s">
        <v>319</v>
      </c>
      <c r="C130" s="1011"/>
      <c r="D130" s="1011"/>
      <c r="E130" s="1011"/>
      <c r="F130" s="1011"/>
      <c r="G130" s="1011"/>
      <c r="H130" s="1011"/>
      <c r="I130" s="1011"/>
      <c r="J130" s="102"/>
      <c r="K130" s="102"/>
      <c r="L130" s="107"/>
      <c r="M130" s="107"/>
      <c r="N130" s="107"/>
      <c r="O130" s="107"/>
      <c r="P130" s="107"/>
      <c r="Q130" s="107"/>
      <c r="R130" s="107"/>
      <c r="S130" s="107"/>
    </row>
    <row r="131" spans="1:19" ht="57.75" customHeight="1">
      <c r="A131" s="207">
        <v>7</v>
      </c>
      <c r="B131" s="1011" t="s">
        <v>320</v>
      </c>
      <c r="C131" s="1011"/>
      <c r="D131" s="1011"/>
      <c r="E131" s="1011"/>
      <c r="F131" s="1011"/>
      <c r="G131" s="1011"/>
      <c r="H131" s="1011"/>
      <c r="I131" s="1011"/>
      <c r="J131" s="102"/>
      <c r="K131" s="102"/>
      <c r="L131" s="107"/>
      <c r="M131" s="107"/>
      <c r="N131" s="107"/>
      <c r="O131" s="107"/>
      <c r="P131" s="107"/>
      <c r="Q131" s="107"/>
      <c r="R131" s="107"/>
      <c r="S131" s="107"/>
    </row>
    <row r="132" spans="1:19" ht="17.25" customHeight="1">
      <c r="B132" s="1005"/>
      <c r="C132" s="1005"/>
      <c r="D132" s="1005"/>
      <c r="E132" s="1005"/>
      <c r="F132" s="1005"/>
      <c r="G132" s="1005"/>
      <c r="H132" s="1005"/>
      <c r="I132" s="1005"/>
      <c r="J132" s="103"/>
      <c r="K132" s="103"/>
      <c r="L132" s="107"/>
      <c r="M132" s="107"/>
      <c r="N132" s="107"/>
      <c r="O132" s="107"/>
      <c r="P132" s="107"/>
      <c r="Q132" s="107"/>
      <c r="R132" s="107"/>
      <c r="S132" s="107"/>
    </row>
    <row r="133" spans="1:19" ht="18">
      <c r="B133" s="1003" t="s">
        <v>47</v>
      </c>
      <c r="C133" s="1003"/>
      <c r="D133" s="1003"/>
      <c r="E133" s="1003"/>
      <c r="F133" s="1003"/>
      <c r="G133" s="1003"/>
      <c r="H133" s="1003"/>
      <c r="I133" s="1003"/>
      <c r="J133" s="104"/>
      <c r="K133" s="104"/>
      <c r="L133" s="101"/>
      <c r="M133" s="101"/>
      <c r="N133" s="101"/>
      <c r="O133" s="101"/>
      <c r="P133" s="101"/>
      <c r="Q133" s="101"/>
      <c r="R133" s="101"/>
      <c r="S133" s="101"/>
    </row>
    <row r="134" spans="1:19" ht="13.5" customHeight="1">
      <c r="B134" s="1017"/>
      <c r="C134" s="1017"/>
      <c r="D134" s="1017"/>
      <c r="E134" s="1017"/>
      <c r="F134" s="1017"/>
      <c r="G134" s="1017"/>
      <c r="H134" s="1017"/>
      <c r="I134" s="1017"/>
      <c r="J134" s="105"/>
      <c r="K134" s="105"/>
      <c r="L134" s="101"/>
      <c r="M134" s="101"/>
      <c r="N134" s="101"/>
      <c r="O134" s="101"/>
      <c r="P134" s="101"/>
      <c r="Q134" s="101"/>
      <c r="R134" s="101"/>
      <c r="S134" s="101"/>
    </row>
    <row r="135" spans="1:19" ht="15.75" customHeight="1">
      <c r="A135" s="207">
        <v>1</v>
      </c>
      <c r="B135" s="1018" t="s">
        <v>323</v>
      </c>
      <c r="C135" s="1018"/>
      <c r="D135" s="1018"/>
      <c r="E135" s="1018"/>
      <c r="F135" s="1018"/>
      <c r="G135" s="1018"/>
      <c r="H135" s="1018"/>
      <c r="I135" s="1018"/>
      <c r="J135" s="107"/>
      <c r="K135" s="107"/>
      <c r="L135" s="107"/>
      <c r="M135" s="107"/>
      <c r="N135" s="107"/>
      <c r="O135" s="107"/>
      <c r="P135" s="107"/>
      <c r="Q135" s="107"/>
      <c r="R135" s="107"/>
      <c r="S135" s="107"/>
    </row>
    <row r="136" spans="1:19">
      <c r="B136" s="215"/>
      <c r="C136" s="114"/>
      <c r="D136" s="114"/>
      <c r="E136" s="114"/>
      <c r="F136" s="114"/>
      <c r="G136" s="114"/>
      <c r="H136" s="114"/>
      <c r="I136" s="114"/>
      <c r="J136" s="108"/>
      <c r="K136" s="108"/>
      <c r="L136" s="108"/>
      <c r="M136" s="108"/>
      <c r="N136" s="108"/>
      <c r="O136" s="108"/>
      <c r="P136" s="108"/>
      <c r="Q136" s="108"/>
      <c r="R136" s="108"/>
      <c r="S136" s="108"/>
    </row>
    <row r="137" spans="1:19" ht="18">
      <c r="B137" s="1003" t="s">
        <v>89</v>
      </c>
      <c r="C137" s="1003"/>
      <c r="D137" s="1003"/>
      <c r="E137" s="1003"/>
      <c r="F137" s="1003"/>
      <c r="G137" s="1003"/>
      <c r="H137" s="1003"/>
      <c r="I137" s="1003"/>
    </row>
    <row r="139" spans="1:19" ht="17.25" customHeight="1">
      <c r="A139" s="207">
        <v>1</v>
      </c>
      <c r="B139" s="1002" t="s">
        <v>328</v>
      </c>
      <c r="C139" s="1002"/>
      <c r="D139" s="1002"/>
      <c r="E139" s="1002"/>
      <c r="F139" s="1002"/>
      <c r="G139" s="1002"/>
      <c r="H139" s="1002"/>
      <c r="I139" s="1002"/>
      <c r="J139" s="109"/>
      <c r="K139" s="109"/>
      <c r="L139" s="109"/>
      <c r="M139" s="109"/>
      <c r="N139" s="109"/>
      <c r="O139" s="109"/>
      <c r="P139" s="109"/>
      <c r="Q139" s="109"/>
    </row>
    <row r="140" spans="1:19" ht="15.75" customHeight="1">
      <c r="A140" s="207">
        <v>2</v>
      </c>
      <c r="B140" s="1002" t="s">
        <v>329</v>
      </c>
      <c r="C140" s="1002"/>
      <c r="D140" s="1002"/>
      <c r="E140" s="1002"/>
      <c r="F140" s="1002"/>
      <c r="G140" s="1002"/>
      <c r="H140" s="1002"/>
      <c r="I140" s="1002"/>
      <c r="J140" s="109"/>
      <c r="K140" s="109"/>
      <c r="L140" s="109"/>
      <c r="M140" s="109"/>
      <c r="N140" s="109"/>
      <c r="O140" s="109"/>
      <c r="P140" s="109"/>
      <c r="Q140" s="109"/>
    </row>
    <row r="141" spans="1:19" ht="20.25" customHeight="1">
      <c r="A141" s="207">
        <v>3</v>
      </c>
      <c r="B141" s="1002" t="s">
        <v>332</v>
      </c>
      <c r="C141" s="1002"/>
      <c r="D141" s="1002"/>
      <c r="E141" s="1002"/>
      <c r="F141" s="1002"/>
      <c r="G141" s="1002"/>
      <c r="H141" s="1002"/>
      <c r="I141" s="1002"/>
      <c r="J141" s="110"/>
      <c r="K141" s="110"/>
      <c r="L141" s="110"/>
      <c r="M141" s="110"/>
      <c r="N141" s="110"/>
      <c r="O141" s="110"/>
      <c r="P141" s="110"/>
      <c r="Q141" s="110"/>
    </row>
    <row r="142" spans="1:19" ht="51.75" customHeight="1">
      <c r="J142" s="111"/>
      <c r="K142" s="111"/>
      <c r="L142" s="111"/>
      <c r="M142" s="111"/>
      <c r="N142" s="111"/>
      <c r="O142" s="111"/>
      <c r="P142" s="111"/>
      <c r="Q142" s="111"/>
    </row>
  </sheetData>
  <mergeCells count="131">
    <mergeCell ref="R102:S102"/>
    <mergeCell ref="B90:I90"/>
    <mergeCell ref="B92:I92"/>
    <mergeCell ref="B96:I96"/>
    <mergeCell ref="B99:I99"/>
    <mergeCell ref="B105:I105"/>
    <mergeCell ref="B108:I108"/>
    <mergeCell ref="B109:I109"/>
    <mergeCell ref="B107:I107"/>
    <mergeCell ref="B106:O106"/>
    <mergeCell ref="B98:O98"/>
    <mergeCell ref="B102:O102"/>
    <mergeCell ref="B1:I1"/>
    <mergeCell ref="B95:I95"/>
    <mergeCell ref="B91:I91"/>
    <mergeCell ref="B2:I2"/>
    <mergeCell ref="B93:I93"/>
    <mergeCell ref="B94:I94"/>
    <mergeCell ref="B89:I89"/>
    <mergeCell ref="B88:I88"/>
    <mergeCell ref="B87:I87"/>
    <mergeCell ref="B82:I82"/>
    <mergeCell ref="B81:I81"/>
    <mergeCell ref="B83:I83"/>
    <mergeCell ref="B84:I84"/>
    <mergeCell ref="B85:I85"/>
    <mergeCell ref="B6:I6"/>
    <mergeCell ref="B3:I3"/>
    <mergeCell ref="B5:I5"/>
    <mergeCell ref="B4:I4"/>
    <mergeCell ref="B14:O14"/>
    <mergeCell ref="B21:O21"/>
    <mergeCell ref="B23:O23"/>
    <mergeCell ref="B24:O24"/>
    <mergeCell ref="B25:O25"/>
    <mergeCell ref="B31:O31"/>
    <mergeCell ref="B140:I140"/>
    <mergeCell ref="B141:I141"/>
    <mergeCell ref="B76:I76"/>
    <mergeCell ref="B86:I86"/>
    <mergeCell ref="B77:I77"/>
    <mergeCell ref="B79:I79"/>
    <mergeCell ref="B78:I78"/>
    <mergeCell ref="B80:I80"/>
    <mergeCell ref="B100:I100"/>
    <mergeCell ref="B101:I101"/>
    <mergeCell ref="B103:I103"/>
    <mergeCell ref="B104:I104"/>
    <mergeCell ref="B114:I114"/>
    <mergeCell ref="B115:I115"/>
    <mergeCell ref="B116:I116"/>
    <mergeCell ref="B112:I112"/>
    <mergeCell ref="B113:I113"/>
    <mergeCell ref="B117:I117"/>
    <mergeCell ref="B133:I133"/>
    <mergeCell ref="B134:I134"/>
    <mergeCell ref="B135:I135"/>
    <mergeCell ref="B131:I131"/>
    <mergeCell ref="B128:I128"/>
    <mergeCell ref="B74:O74"/>
    <mergeCell ref="B73:O73"/>
    <mergeCell ref="B72:O72"/>
    <mergeCell ref="B71:O71"/>
    <mergeCell ref="B70:O70"/>
    <mergeCell ref="B67:I67"/>
    <mergeCell ref="B69:O69"/>
    <mergeCell ref="I68:P68"/>
    <mergeCell ref="B139:I139"/>
    <mergeCell ref="B137:I137"/>
    <mergeCell ref="B129:I129"/>
    <mergeCell ref="B132:I132"/>
    <mergeCell ref="B110:O110"/>
    <mergeCell ref="B118:I118"/>
    <mergeCell ref="B119:I119"/>
    <mergeCell ref="B121:I121"/>
    <mergeCell ref="B122:I122"/>
    <mergeCell ref="B120:I120"/>
    <mergeCell ref="B126:I126"/>
    <mergeCell ref="B127:I127"/>
    <mergeCell ref="B130:I130"/>
    <mergeCell ref="B123:I123"/>
    <mergeCell ref="B124:I124"/>
    <mergeCell ref="B125:I125"/>
    <mergeCell ref="B7:O7"/>
    <mergeCell ref="B8:O8"/>
    <mergeCell ref="B9:O9"/>
    <mergeCell ref="B10:O10"/>
    <mergeCell ref="B61:O61"/>
    <mergeCell ref="B62:O62"/>
    <mergeCell ref="B60:O60"/>
    <mergeCell ref="B59:O59"/>
    <mergeCell ref="B12:I12"/>
    <mergeCell ref="B15:O15"/>
    <mergeCell ref="B16:O16"/>
    <mergeCell ref="B17:O17"/>
    <mergeCell ref="B18:O18"/>
    <mergeCell ref="B56:O56"/>
    <mergeCell ref="B57:O57"/>
    <mergeCell ref="B58:O58"/>
    <mergeCell ref="B51:O51"/>
    <mergeCell ref="B52:O52"/>
    <mergeCell ref="B53:O53"/>
    <mergeCell ref="B54:O54"/>
    <mergeCell ref="B55:O55"/>
    <mergeCell ref="B46:O46"/>
    <mergeCell ref="B47:O47"/>
    <mergeCell ref="B48:O48"/>
    <mergeCell ref="B19:O19"/>
    <mergeCell ref="B63:O63"/>
    <mergeCell ref="B64:O64"/>
    <mergeCell ref="B49:O49"/>
    <mergeCell ref="B50:O50"/>
    <mergeCell ref="B41:O41"/>
    <mergeCell ref="B42:O42"/>
    <mergeCell ref="B43:O43"/>
    <mergeCell ref="B44:O44"/>
    <mergeCell ref="B45:O45"/>
    <mergeCell ref="B36:O36"/>
    <mergeCell ref="B37:O37"/>
    <mergeCell ref="B38:O38"/>
    <mergeCell ref="B39:O39"/>
    <mergeCell ref="B40:O40"/>
    <mergeCell ref="B32:O32"/>
    <mergeCell ref="B33:O33"/>
    <mergeCell ref="B34:O34"/>
    <mergeCell ref="B35:O35"/>
    <mergeCell ref="B26:O26"/>
    <mergeCell ref="B27:O27"/>
    <mergeCell ref="B28:O28"/>
    <mergeCell ref="B29:O29"/>
    <mergeCell ref="B30:O3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14"/>
  <sheetViews>
    <sheetView topLeftCell="A22" workbookViewId="0">
      <selection activeCell="B31" sqref="B31"/>
    </sheetView>
  </sheetViews>
  <sheetFormatPr defaultColWidth="9.109375" defaultRowHeight="15"/>
  <cols>
    <col min="2" max="2" width="62.44140625" style="146" customWidth="1"/>
    <col min="3" max="3" width="50.33203125" customWidth="1"/>
    <col min="4" max="4" width="45.109375" customWidth="1"/>
    <col min="5" max="5" width="37.109375" customWidth="1"/>
    <col min="6" max="6" width="18.88671875" customWidth="1"/>
    <col min="7" max="7" width="28.33203125" customWidth="1"/>
    <col min="8" max="8" width="4" hidden="1" customWidth="1"/>
    <col min="9" max="10" width="7.88671875" hidden="1" customWidth="1"/>
  </cols>
  <sheetData>
    <row r="1" spans="1:10" ht="18.600000000000001">
      <c r="A1" s="2" t="s">
        <v>197</v>
      </c>
      <c r="B1"/>
      <c r="C1" s="474"/>
      <c r="D1" s="474"/>
      <c r="E1" s="17"/>
      <c r="F1" s="17"/>
      <c r="H1" s="17" t="s">
        <v>125</v>
      </c>
      <c r="I1" s="17" t="s">
        <v>126</v>
      </c>
      <c r="J1" t="s">
        <v>127</v>
      </c>
    </row>
    <row r="2" spans="1:10" ht="18">
      <c r="A2" s="122"/>
      <c r="B2" s="118"/>
      <c r="C2" s="474"/>
      <c r="D2" s="474"/>
      <c r="E2" s="17"/>
      <c r="F2" s="17"/>
      <c r="H2" s="17" t="s">
        <v>128</v>
      </c>
      <c r="I2" t="s">
        <v>129</v>
      </c>
      <c r="J2" s="124" t="s">
        <v>130</v>
      </c>
    </row>
    <row r="3" spans="1:10" ht="18">
      <c r="A3" s="119" t="s">
        <v>131</v>
      </c>
      <c r="B3" s="118"/>
      <c r="C3" s="474"/>
      <c r="D3" s="474"/>
      <c r="E3" s="17"/>
      <c r="F3" s="17"/>
      <c r="H3" s="17" t="s">
        <v>132</v>
      </c>
      <c r="I3" t="s">
        <v>133</v>
      </c>
      <c r="J3" s="124" t="s">
        <v>134</v>
      </c>
    </row>
    <row r="4" spans="1:10" ht="18">
      <c r="A4" s="122"/>
      <c r="B4" s="118"/>
      <c r="C4" s="474"/>
      <c r="D4" s="474"/>
      <c r="E4" s="17"/>
      <c r="F4" s="17"/>
      <c r="H4" s="17" t="s">
        <v>135</v>
      </c>
      <c r="J4" s="124" t="s">
        <v>136</v>
      </c>
    </row>
    <row r="5" spans="1:10" ht="18">
      <c r="A5" s="122"/>
      <c r="B5" s="125" t="s">
        <v>198</v>
      </c>
      <c r="C5" s="126" t="s">
        <v>640</v>
      </c>
      <c r="D5" s="474"/>
      <c r="E5" s="17"/>
      <c r="F5" s="17"/>
      <c r="G5" s="17"/>
    </row>
    <row r="6" spans="1:10" ht="30" customHeight="1">
      <c r="A6" s="122"/>
      <c r="B6" s="125" t="s">
        <v>199</v>
      </c>
      <c r="C6" s="475" t="s">
        <v>1057</v>
      </c>
      <c r="D6" s="474"/>
      <c r="E6" s="17"/>
      <c r="F6" s="17"/>
      <c r="G6" s="17"/>
    </row>
    <row r="7" spans="1:10" ht="18">
      <c r="A7" s="122"/>
      <c r="B7" s="118"/>
      <c r="C7" s="474"/>
      <c r="D7" s="474"/>
      <c r="E7" s="17"/>
      <c r="F7" s="17"/>
      <c r="G7" s="17"/>
    </row>
    <row r="8" spans="1:10" ht="18">
      <c r="A8" s="119" t="s">
        <v>137</v>
      </c>
      <c r="B8" s="118"/>
      <c r="C8" s="474"/>
      <c r="D8" s="474"/>
      <c r="E8" s="17"/>
      <c r="F8" s="17"/>
      <c r="G8" s="17"/>
    </row>
    <row r="9" spans="1:10" ht="18">
      <c r="A9" s="119"/>
      <c r="B9" s="118"/>
      <c r="C9" s="474"/>
      <c r="D9" s="474"/>
      <c r="E9" s="17"/>
      <c r="F9" s="17"/>
      <c r="G9" s="17"/>
    </row>
    <row r="10" spans="1:10" ht="26.4">
      <c r="A10" s="119"/>
      <c r="B10" s="125" t="s">
        <v>200</v>
      </c>
      <c r="C10" s="475" t="s">
        <v>720</v>
      </c>
      <c r="G10" s="17"/>
    </row>
    <row r="11" spans="1:10" ht="18">
      <c r="A11" s="119"/>
      <c r="B11" s="125" t="s">
        <v>201</v>
      </c>
      <c r="C11" s="126"/>
      <c r="G11" s="17"/>
    </row>
    <row r="12" spans="1:10" ht="18">
      <c r="A12" s="119"/>
      <c r="B12" s="127">
        <v>7</v>
      </c>
      <c r="C12" s="128"/>
      <c r="D12" s="474"/>
      <c r="E12" s="17"/>
      <c r="F12" s="17"/>
      <c r="G12" s="17"/>
    </row>
    <row r="13" spans="1:10" ht="18">
      <c r="A13" s="119"/>
      <c r="B13" s="125" t="s">
        <v>138</v>
      </c>
      <c r="C13" s="126">
        <v>2027</v>
      </c>
      <c r="D13" s="474"/>
      <c r="E13" s="17"/>
      <c r="F13" s="17"/>
      <c r="G13" s="17"/>
    </row>
    <row r="14" spans="1:10" ht="18">
      <c r="A14" s="119"/>
      <c r="B14" s="125" t="s">
        <v>202</v>
      </c>
      <c r="C14" s="126" t="s">
        <v>723</v>
      </c>
      <c r="D14" s="474"/>
      <c r="E14" s="17"/>
      <c r="F14" s="17"/>
      <c r="G14" s="17"/>
    </row>
    <row r="15" spans="1:10" ht="18">
      <c r="A15" s="119"/>
      <c r="B15" s="118"/>
      <c r="C15" s="115"/>
      <c r="D15" s="474"/>
      <c r="E15" s="17"/>
      <c r="F15" s="17"/>
      <c r="G15" s="17"/>
    </row>
    <row r="16" spans="1:10" ht="18">
      <c r="A16" s="119" t="s">
        <v>139</v>
      </c>
      <c r="B16" s="118"/>
      <c r="C16" s="115"/>
      <c r="D16" s="474"/>
      <c r="E16" s="17"/>
      <c r="F16" s="17"/>
      <c r="G16" s="17"/>
    </row>
    <row r="17" spans="1:10" ht="18">
      <c r="B17" s="125" t="s">
        <v>203</v>
      </c>
      <c r="C17" s="126"/>
      <c r="D17" s="474"/>
      <c r="E17" s="17"/>
      <c r="F17" s="17"/>
      <c r="G17" s="17"/>
    </row>
    <row r="18" spans="1:10" ht="18">
      <c r="A18" s="119"/>
      <c r="B18" s="125" t="s">
        <v>204</v>
      </c>
      <c r="C18" s="126"/>
      <c r="D18" s="474"/>
      <c r="E18" s="17"/>
      <c r="F18" s="17"/>
      <c r="G18" s="17"/>
    </row>
    <row r="19" spans="1:10" ht="18">
      <c r="A19" s="119"/>
      <c r="B19" s="474"/>
      <c r="C19" s="474"/>
      <c r="D19" s="474"/>
      <c r="E19" s="17"/>
      <c r="F19" s="17"/>
      <c r="G19" s="17"/>
    </row>
    <row r="20" spans="1:10" ht="26.25" customHeight="1">
      <c r="A20" s="119"/>
      <c r="B20" s="125" t="s">
        <v>226</v>
      </c>
      <c r="C20" s="129" t="s">
        <v>128</v>
      </c>
      <c r="F20" s="17"/>
      <c r="G20" s="17"/>
    </row>
    <row r="21" spans="1:10" ht="18">
      <c r="A21" s="119"/>
      <c r="B21"/>
      <c r="C21" s="130"/>
      <c r="F21" s="17"/>
      <c r="G21" s="17"/>
    </row>
    <row r="22" spans="1:10" ht="18">
      <c r="A22" s="119"/>
      <c r="B22" s="118"/>
      <c r="C22" s="115"/>
      <c r="D22" s="474"/>
      <c r="E22" s="17"/>
      <c r="F22" s="17"/>
      <c r="G22" s="17"/>
    </row>
    <row r="23" spans="1:10" ht="18">
      <c r="A23" s="119"/>
      <c r="B23" s="118"/>
      <c r="C23" s="115"/>
      <c r="D23" s="474"/>
      <c r="E23" s="17"/>
      <c r="F23" s="17"/>
      <c r="G23" s="17"/>
    </row>
    <row r="24" spans="1:10" ht="15.75" customHeight="1">
      <c r="A24" s="119" t="s">
        <v>140</v>
      </c>
      <c r="B24"/>
      <c r="C24" s="118"/>
      <c r="D24" s="118"/>
      <c r="E24" s="118"/>
      <c r="F24" s="118"/>
      <c r="G24" s="118"/>
      <c r="H24" s="118"/>
      <c r="I24" s="118"/>
      <c r="J24" s="118"/>
    </row>
    <row r="25" spans="1:10" ht="18">
      <c r="B25" s="118"/>
      <c r="C25" s="118"/>
      <c r="D25" s="118"/>
      <c r="E25" s="118"/>
      <c r="F25" s="118"/>
      <c r="G25" s="118"/>
      <c r="H25" s="118"/>
      <c r="I25" s="118"/>
      <c r="J25" s="118"/>
    </row>
    <row r="26" spans="1:10" ht="40.200000000000003">
      <c r="B26" s="131" t="s">
        <v>227</v>
      </c>
      <c r="C26" s="131" t="s">
        <v>228</v>
      </c>
      <c r="D26" s="131" t="s">
        <v>229</v>
      </c>
      <c r="E26" s="131" t="s">
        <v>230</v>
      </c>
      <c r="F26" s="118"/>
      <c r="G26" s="118"/>
      <c r="H26" s="118"/>
      <c r="I26" s="118"/>
      <c r="J26" s="118"/>
    </row>
    <row r="27" spans="1:10" ht="231.75" customHeight="1">
      <c r="B27" s="714" t="s">
        <v>130</v>
      </c>
      <c r="C27" s="500" t="s">
        <v>1058</v>
      </c>
      <c r="D27" s="500"/>
      <c r="E27" s="500" t="s">
        <v>1059</v>
      </c>
      <c r="F27" s="71"/>
      <c r="G27" s="118"/>
      <c r="H27" s="118"/>
      <c r="I27" s="118"/>
      <c r="J27" s="71"/>
    </row>
    <row r="28" spans="1:10" ht="18">
      <c r="A28" s="119"/>
      <c r="B28" s="118"/>
      <c r="C28" s="115"/>
      <c r="D28" s="474"/>
      <c r="E28" s="17"/>
      <c r="F28" s="17"/>
      <c r="G28" s="17"/>
    </row>
    <row r="29" spans="1:10" s="479" customFormat="1" ht="20.25" customHeight="1">
      <c r="A29" s="119" t="s">
        <v>141</v>
      </c>
    </row>
    <row r="30" spans="1:10" s="479" customFormat="1" ht="15" customHeight="1"/>
    <row r="31" spans="1:10" s="479" customFormat="1" ht="93" customHeight="1">
      <c r="B31" s="125" t="s">
        <v>231</v>
      </c>
      <c r="C31" s="501" t="s">
        <v>1060</v>
      </c>
    </row>
    <row r="32" spans="1:10" s="479" customFormat="1" ht="17.25" customHeight="1"/>
    <row r="33" spans="1:5" s="479" customFormat="1" ht="15" customHeight="1">
      <c r="B33" s="788" t="s">
        <v>232</v>
      </c>
    </row>
    <row r="34" spans="1:5" s="479" customFormat="1" ht="15" customHeight="1">
      <c r="B34" s="788"/>
    </row>
    <row r="35" spans="1:5" s="479" customFormat="1" ht="15" customHeight="1">
      <c r="B35" s="788"/>
      <c r="C35" s="482"/>
    </row>
    <row r="36" spans="1:5" s="479" customFormat="1" ht="15" customHeight="1"/>
    <row r="37" spans="1:5" s="479" customFormat="1" ht="13.5" customHeight="1">
      <c r="B37" s="789" t="s">
        <v>233</v>
      </c>
    </row>
    <row r="38" spans="1:5" s="479" customFormat="1">
      <c r="B38" s="790"/>
    </row>
    <row r="39" spans="1:5" s="479" customFormat="1">
      <c r="B39" s="791"/>
    </row>
    <row r="40" spans="1:5" s="479" customFormat="1"/>
    <row r="41" spans="1:5" s="479" customFormat="1"/>
    <row r="42" spans="1:5" s="479" customFormat="1" ht="16.2">
      <c r="A42" s="119" t="s">
        <v>234</v>
      </c>
    </row>
    <row r="43" spans="1:5" s="479" customFormat="1"/>
    <row r="44" spans="1:5" s="479" customFormat="1" ht="81.75" customHeight="1">
      <c r="B44" s="795" t="s">
        <v>1061</v>
      </c>
      <c r="C44" s="793"/>
      <c r="D44" s="793"/>
      <c r="E44" s="794"/>
    </row>
    <row r="45" spans="1:5" s="479" customFormat="1" ht="15" customHeight="1"/>
    <row r="46" spans="1:5" s="479" customFormat="1" ht="15" customHeight="1">
      <c r="A46" s="119" t="s">
        <v>235</v>
      </c>
    </row>
    <row r="47" spans="1:5" s="479" customFormat="1" ht="15" customHeight="1"/>
    <row r="48" spans="1:5" s="479" customFormat="1" ht="54.75" customHeight="1">
      <c r="B48" s="792" t="s">
        <v>1062</v>
      </c>
      <c r="C48" s="793"/>
      <c r="D48" s="793"/>
      <c r="E48" s="794"/>
    </row>
    <row r="49" spans="1:7" s="479" customFormat="1" ht="15" customHeight="1"/>
    <row r="50" spans="1:7" s="479" customFormat="1" ht="15" customHeight="1">
      <c r="A50" s="119" t="s">
        <v>236</v>
      </c>
    </row>
    <row r="51" spans="1:7" s="479" customFormat="1" ht="15" customHeight="1"/>
    <row r="52" spans="1:7" s="479" customFormat="1" ht="117" customHeight="1">
      <c r="B52" s="792" t="s">
        <v>1063</v>
      </c>
      <c r="C52" s="793"/>
      <c r="D52" s="793"/>
      <c r="E52" s="794"/>
    </row>
    <row r="53" spans="1:7" s="479" customFormat="1"/>
    <row r="54" spans="1:7" s="479" customFormat="1">
      <c r="A54" s="119" t="s">
        <v>142</v>
      </c>
    </row>
    <row r="55" spans="1:7" s="479" customFormat="1"/>
    <row r="56" spans="1:7" s="479" customFormat="1" ht="15" customHeight="1">
      <c r="B56" s="786" t="s">
        <v>237</v>
      </c>
      <c r="C56" s="786" t="s">
        <v>143</v>
      </c>
      <c r="D56" s="786" t="s">
        <v>54</v>
      </c>
      <c r="E56" s="786" t="s">
        <v>72</v>
      </c>
      <c r="F56" s="786" t="s">
        <v>97</v>
      </c>
      <c r="G56" s="470" t="s">
        <v>238</v>
      </c>
    </row>
    <row r="57" spans="1:7" s="479" customFormat="1" ht="15" customHeight="1">
      <c r="B57" s="796"/>
      <c r="C57" s="796"/>
      <c r="D57" s="796"/>
      <c r="E57" s="796"/>
      <c r="F57" s="796"/>
      <c r="G57" s="470"/>
    </row>
    <row r="58" spans="1:7" s="479" customFormat="1" ht="15" customHeight="1">
      <c r="B58" s="796"/>
      <c r="C58" s="796"/>
      <c r="D58" s="796"/>
      <c r="E58" s="796"/>
      <c r="F58" s="796"/>
      <c r="G58" s="470"/>
    </row>
    <row r="59" spans="1:7" s="479" customFormat="1">
      <c r="B59" s="787"/>
      <c r="C59" s="787"/>
      <c r="D59" s="787"/>
      <c r="E59" s="787"/>
      <c r="F59" s="787"/>
      <c r="G59" s="470" t="str">
        <f>C14</f>
        <v>2027 և շարունակական</v>
      </c>
    </row>
    <row r="60" spans="1:7" s="479" customFormat="1" ht="79.2">
      <c r="B60" s="715" t="s">
        <v>1064</v>
      </c>
      <c r="C60" s="535"/>
      <c r="D60" s="471" t="s">
        <v>1065</v>
      </c>
      <c r="E60" s="471" t="s">
        <v>1066</v>
      </c>
      <c r="F60" s="716">
        <v>1000000</v>
      </c>
      <c r="G60" s="470"/>
    </row>
    <row r="61" spans="1:7" ht="32.25" customHeight="1">
      <c r="B61" s="717" t="s">
        <v>1067</v>
      </c>
      <c r="C61" s="718"/>
      <c r="D61" s="136"/>
      <c r="E61" s="136"/>
      <c r="F61" s="137"/>
      <c r="G61" s="483"/>
    </row>
    <row r="62" spans="1:7" ht="45">
      <c r="A62" s="719"/>
      <c r="B62" s="135" t="s">
        <v>1068</v>
      </c>
      <c r="C62" s="136"/>
      <c r="D62" s="720"/>
      <c r="E62" s="136"/>
      <c r="F62" s="137"/>
      <c r="G62" s="483"/>
    </row>
    <row r="63" spans="1:7" ht="30">
      <c r="A63" s="719"/>
      <c r="B63" s="135" t="s">
        <v>1069</v>
      </c>
      <c r="C63" s="136"/>
      <c r="D63" s="721" t="s">
        <v>1070</v>
      </c>
      <c r="E63" s="721"/>
      <c r="F63" s="721"/>
      <c r="G63" s="722"/>
    </row>
    <row r="64" spans="1:7" ht="30">
      <c r="A64" s="719"/>
      <c r="B64" s="135" t="s">
        <v>1071</v>
      </c>
      <c r="C64" s="136"/>
      <c r="D64" s="721"/>
      <c r="E64" s="721"/>
      <c r="F64" s="721"/>
      <c r="G64" s="722"/>
    </row>
    <row r="65" spans="1:7" ht="30">
      <c r="A65" s="719"/>
      <c r="B65" s="723" t="s">
        <v>1072</v>
      </c>
      <c r="C65" s="136"/>
      <c r="D65" s="721"/>
      <c r="E65" s="721"/>
      <c r="F65" s="721"/>
      <c r="G65" s="722"/>
    </row>
    <row r="66" spans="1:7">
      <c r="A66" s="719"/>
      <c r="B66" s="135" t="s">
        <v>1073</v>
      </c>
      <c r="C66" s="136"/>
      <c r="D66" s="721"/>
      <c r="E66" s="721"/>
      <c r="F66" s="721"/>
      <c r="G66" s="722"/>
    </row>
    <row r="67" spans="1:7">
      <c r="A67" s="719"/>
      <c r="B67" s="135" t="s">
        <v>1074</v>
      </c>
      <c r="C67" s="136"/>
      <c r="D67" s="721"/>
      <c r="E67" s="721"/>
      <c r="F67" s="721"/>
      <c r="G67" s="722"/>
    </row>
    <row r="68" spans="1:7" ht="30">
      <c r="A68" s="719"/>
      <c r="B68" s="135" t="s">
        <v>1075</v>
      </c>
      <c r="C68" s="136"/>
      <c r="D68" s="721"/>
      <c r="E68" s="721"/>
      <c r="F68" s="721"/>
      <c r="G68" s="722"/>
    </row>
    <row r="69" spans="1:7">
      <c r="A69" s="719"/>
      <c r="B69" s="135" t="s">
        <v>1076</v>
      </c>
      <c r="C69" s="136"/>
      <c r="D69" s="721"/>
      <c r="E69" s="721"/>
      <c r="F69" s="721"/>
      <c r="G69" s="722"/>
    </row>
    <row r="70" spans="1:7">
      <c r="A70" s="719"/>
      <c r="B70" s="135" t="s">
        <v>1077</v>
      </c>
      <c r="C70" s="136"/>
      <c r="D70" s="721"/>
      <c r="E70" s="721"/>
      <c r="F70" s="721"/>
      <c r="G70" s="722"/>
    </row>
    <row r="71" spans="1:7" ht="30">
      <c r="A71" s="719"/>
      <c r="B71" s="723" t="s">
        <v>1078</v>
      </c>
      <c r="C71" s="136"/>
      <c r="D71" s="721"/>
      <c r="E71" s="721"/>
      <c r="F71" s="721"/>
      <c r="G71" s="722"/>
    </row>
    <row r="72" spans="1:7">
      <c r="A72" s="719"/>
      <c r="B72" s="135" t="s">
        <v>1079</v>
      </c>
      <c r="C72" s="136"/>
      <c r="D72" s="721"/>
      <c r="E72" s="721"/>
      <c r="F72" s="721"/>
      <c r="G72" s="722"/>
    </row>
    <row r="73" spans="1:7" ht="30">
      <c r="A73" s="719"/>
      <c r="B73" s="135" t="s">
        <v>1080</v>
      </c>
      <c r="C73" s="136"/>
      <c r="D73" s="721"/>
      <c r="E73" s="721"/>
      <c r="F73" s="721"/>
      <c r="G73" s="722"/>
    </row>
    <row r="74" spans="1:7">
      <c r="A74" s="719"/>
      <c r="B74" s="135" t="s">
        <v>1081</v>
      </c>
      <c r="C74" s="136"/>
      <c r="D74" s="721"/>
      <c r="E74" s="721"/>
      <c r="F74" s="721"/>
      <c r="G74" s="722"/>
    </row>
    <row r="75" spans="1:7">
      <c r="A75" s="719"/>
      <c r="B75" s="135"/>
      <c r="C75" s="136"/>
      <c r="D75" s="721"/>
      <c r="E75" s="721"/>
      <c r="F75" s="721"/>
      <c r="G75" s="722"/>
    </row>
    <row r="76" spans="1:7">
      <c r="B76" s="479"/>
    </row>
    <row r="77" spans="1:7">
      <c r="A77" s="119" t="s">
        <v>144</v>
      </c>
      <c r="B77" s="479"/>
    </row>
    <row r="78" spans="1:7">
      <c r="B78" s="479"/>
    </row>
    <row r="79" spans="1:7" ht="15" customHeight="1">
      <c r="B79" s="786" t="s">
        <v>239</v>
      </c>
      <c r="C79" s="786" t="s">
        <v>145</v>
      </c>
      <c r="D79" s="786" t="s">
        <v>54</v>
      </c>
      <c r="E79" s="786" t="s">
        <v>72</v>
      </c>
      <c r="F79" s="786" t="s">
        <v>97</v>
      </c>
      <c r="G79" s="470" t="s">
        <v>146</v>
      </c>
    </row>
    <row r="80" spans="1:7" ht="14.4">
      <c r="B80" s="787"/>
      <c r="C80" s="787"/>
      <c r="D80" s="787"/>
      <c r="E80" s="787"/>
      <c r="F80" s="787"/>
      <c r="G80" s="470" t="str">
        <f>C14</f>
        <v>2027 և շարունակական</v>
      </c>
    </row>
    <row r="81" spans="1:7">
      <c r="B81" s="136" t="s">
        <v>1082</v>
      </c>
      <c r="C81" s="470" t="s">
        <v>10</v>
      </c>
      <c r="D81" s="139">
        <v>779529.1</v>
      </c>
      <c r="E81" s="139">
        <v>560000</v>
      </c>
      <c r="F81" s="140">
        <v>1000000</v>
      </c>
      <c r="G81" s="473"/>
    </row>
    <row r="82" spans="1:7">
      <c r="B82" s="136"/>
      <c r="C82" s="470" t="s">
        <v>10</v>
      </c>
      <c r="D82" s="139"/>
      <c r="E82" s="139"/>
      <c r="F82" s="141"/>
      <c r="G82" s="473"/>
    </row>
    <row r="83" spans="1:7" ht="14.4">
      <c r="B83" s="142" t="s">
        <v>9</v>
      </c>
      <c r="C83" s="142" t="s">
        <v>10</v>
      </c>
      <c r="D83" s="142">
        <f>SUM(D81:D82)</f>
        <v>779529.1</v>
      </c>
      <c r="E83" s="142">
        <f>SUM(E81:E82)</f>
        <v>560000</v>
      </c>
      <c r="F83" s="142">
        <f>SUM(F81:F82)</f>
        <v>1000000</v>
      </c>
      <c r="G83" s="142">
        <f>SUM(G81:G82)</f>
        <v>0</v>
      </c>
    </row>
    <row r="84" spans="1:7" ht="14.4">
      <c r="B84"/>
    </row>
    <row r="85" spans="1:7">
      <c r="A85" s="119" t="s">
        <v>147</v>
      </c>
      <c r="B85"/>
    </row>
    <row r="86" spans="1:7" ht="14.4">
      <c r="B86"/>
    </row>
    <row r="87" spans="1:7" ht="15" customHeight="1">
      <c r="B87" s="786" t="s">
        <v>240</v>
      </c>
      <c r="C87" s="786" t="s">
        <v>145</v>
      </c>
      <c r="D87" s="786" t="s">
        <v>54</v>
      </c>
      <c r="E87" s="786" t="s">
        <v>72</v>
      </c>
      <c r="F87" s="786" t="s">
        <v>97</v>
      </c>
      <c r="G87" s="470" t="s">
        <v>146</v>
      </c>
    </row>
    <row r="88" spans="1:7" ht="14.4">
      <c r="B88" s="787"/>
      <c r="C88" s="787"/>
      <c r="D88" s="787"/>
      <c r="E88" s="787"/>
      <c r="F88" s="787"/>
      <c r="G88" s="470" t="str">
        <f>C14</f>
        <v>2027 և շարունակական</v>
      </c>
    </row>
    <row r="89" spans="1:7">
      <c r="B89" s="469" t="s">
        <v>148</v>
      </c>
      <c r="C89" s="143" t="s">
        <v>10</v>
      </c>
      <c r="D89" s="142">
        <f>D83</f>
        <v>779529.1</v>
      </c>
      <c r="E89" s="142">
        <f>E83</f>
        <v>560000</v>
      </c>
      <c r="F89" s="142">
        <f>F83</f>
        <v>1000000</v>
      </c>
      <c r="G89" s="142">
        <f>G83</f>
        <v>0</v>
      </c>
    </row>
    <row r="90" spans="1:7">
      <c r="B90" s="144" t="s">
        <v>149</v>
      </c>
      <c r="C90" s="143" t="s">
        <v>10</v>
      </c>
      <c r="D90" s="139"/>
      <c r="E90" s="139"/>
      <c r="F90" s="140"/>
      <c r="G90" s="483"/>
    </row>
    <row r="91" spans="1:7" ht="15" customHeight="1">
      <c r="B91" s="145" t="s">
        <v>150</v>
      </c>
      <c r="C91" s="143" t="s">
        <v>10</v>
      </c>
      <c r="D91" s="139"/>
      <c r="E91" s="139"/>
      <c r="F91" s="140"/>
      <c r="G91" s="483"/>
    </row>
    <row r="92" spans="1:7">
      <c r="B92" s="144" t="s">
        <v>151</v>
      </c>
      <c r="C92" s="143" t="s">
        <v>10</v>
      </c>
      <c r="D92" s="142">
        <f>SUM(D93:D94)</f>
        <v>0</v>
      </c>
      <c r="E92" s="142">
        <f>SUM(E93:E94)</f>
        <v>0</v>
      </c>
      <c r="F92" s="142">
        <f>SUM(F93:F94)</f>
        <v>0</v>
      </c>
      <c r="G92" s="142">
        <f>SUM(G93:G94)</f>
        <v>0</v>
      </c>
    </row>
    <row r="93" spans="1:7">
      <c r="B93" s="136"/>
      <c r="C93" s="143" t="s">
        <v>10</v>
      </c>
      <c r="D93" s="139"/>
      <c r="E93" s="139"/>
      <c r="F93" s="140"/>
      <c r="G93" s="483"/>
    </row>
    <row r="94" spans="1:7">
      <c r="B94" s="136"/>
      <c r="C94" s="143" t="s">
        <v>10</v>
      </c>
      <c r="D94" s="139"/>
      <c r="E94" s="139"/>
      <c r="F94" s="140"/>
      <c r="G94" s="483"/>
    </row>
    <row r="95" spans="1:7" ht="15.75" customHeight="1">
      <c r="B95" s="469" t="s">
        <v>152</v>
      </c>
      <c r="C95" s="143" t="s">
        <v>10</v>
      </c>
      <c r="D95" s="142">
        <f>D89-D92-D91</f>
        <v>779529.1</v>
      </c>
      <c r="E95" s="142">
        <f>E89-E92-E91</f>
        <v>560000</v>
      </c>
      <c r="F95" s="142">
        <f>F89-F92-F91</f>
        <v>1000000</v>
      </c>
      <c r="G95" s="142">
        <f>G89-G92-G91</f>
        <v>0</v>
      </c>
    </row>
    <row r="96" spans="1:7" ht="14.4">
      <c r="B96"/>
    </row>
    <row r="97" spans="1:5" ht="19.5" customHeight="1">
      <c r="A97" s="119" t="s">
        <v>185</v>
      </c>
      <c r="B97"/>
    </row>
    <row r="98" spans="1:5" ht="21" customHeight="1">
      <c r="B98"/>
    </row>
    <row r="99" spans="1:5" ht="16.2">
      <c r="B99" s="469" t="s">
        <v>241</v>
      </c>
      <c r="C99" s="783"/>
      <c r="D99" s="784"/>
      <c r="E99" s="785"/>
    </row>
    <row r="100" spans="1:5" ht="14.4">
      <c r="B100"/>
    </row>
    <row r="101" spans="1:5" ht="16.2">
      <c r="A101" s="119" t="s">
        <v>242</v>
      </c>
      <c r="B101" s="154"/>
    </row>
    <row r="102" spans="1:5" ht="14.4">
      <c r="B102"/>
    </row>
    <row r="103" spans="1:5" ht="14.4">
      <c r="B103" s="469" t="s">
        <v>186</v>
      </c>
      <c r="C103" s="783"/>
      <c r="D103" s="784"/>
      <c r="E103" s="785"/>
    </row>
    <row r="104" spans="1:5" ht="14.4">
      <c r="B104" s="469" t="s">
        <v>187</v>
      </c>
      <c r="C104" s="783"/>
      <c r="D104" s="784"/>
      <c r="E104" s="785"/>
    </row>
    <row r="105" spans="1:5" ht="24.75" customHeight="1">
      <c r="A105" s="119" t="s">
        <v>243</v>
      </c>
      <c r="B105"/>
    </row>
    <row r="106" spans="1:5" ht="14.4">
      <c r="B106"/>
    </row>
    <row r="107" spans="1:5" ht="80.25" customHeight="1">
      <c r="B107" s="797" t="s">
        <v>1083</v>
      </c>
      <c r="C107" s="798"/>
      <c r="D107" s="798"/>
      <c r="E107" s="799"/>
    </row>
    <row r="109" spans="1:5">
      <c r="A109" s="119" t="s">
        <v>188</v>
      </c>
    </row>
    <row r="111" spans="1:5" ht="60.75" customHeight="1">
      <c r="B111" s="797" t="s">
        <v>1084</v>
      </c>
      <c r="C111" s="798"/>
      <c r="D111" s="798"/>
      <c r="E111" s="799"/>
    </row>
    <row r="114" spans="2:2" ht="15.6">
      <c r="B114" s="384" t="s">
        <v>190</v>
      </c>
    </row>
  </sheetData>
  <mergeCells count="25">
    <mergeCell ref="B111:E111"/>
    <mergeCell ref="F87:F88"/>
    <mergeCell ref="C99:E99"/>
    <mergeCell ref="C103:E103"/>
    <mergeCell ref="C104:E104"/>
    <mergeCell ref="B107:E107"/>
    <mergeCell ref="B87:B88"/>
    <mergeCell ref="C87:C88"/>
    <mergeCell ref="D87:D88"/>
    <mergeCell ref="E87:E88"/>
    <mergeCell ref="F56:F59"/>
    <mergeCell ref="B79:B80"/>
    <mergeCell ref="C79:C80"/>
    <mergeCell ref="D79:D80"/>
    <mergeCell ref="E79:E80"/>
    <mergeCell ref="F79:F80"/>
    <mergeCell ref="B56:B59"/>
    <mergeCell ref="C56:C59"/>
    <mergeCell ref="D56:D59"/>
    <mergeCell ref="E56:E59"/>
    <mergeCell ref="B33:B35"/>
    <mergeCell ref="B37:B39"/>
    <mergeCell ref="B44:E44"/>
    <mergeCell ref="B48:E48"/>
    <mergeCell ref="B52:E52"/>
  </mergeCells>
  <dataValidations count="2">
    <dataValidation type="list" allowBlank="1" showInputMessage="1" showErrorMessage="1" sqref="B27">
      <formula1>$J$2:$J$4</formula1>
    </dataValidation>
    <dataValidation type="list" allowBlank="1" showInputMessage="1" showErrorMessage="1" sqref="C20:C21">
      <formula1>$H$2:$H$4</formula1>
    </dataValidation>
  </dataValidations>
  <hyperlinks>
    <hyperlink ref="C26" location="_ftn1" display="_ftn1"/>
    <hyperlink ref="D26" location="_ftn2" display="_ftn2"/>
    <hyperlink ref="E26" location="_ftn3" display="_ftn3"/>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3729" r:id="rId4" name="Check Box 1">
              <controlPr defaultSize="0" autoFill="0" autoLine="0" autoPict="0">
                <anchor moveWithCells="1">
                  <from>
                    <xdr:col>2</xdr:col>
                    <xdr:colOff>99060</xdr:colOff>
                    <xdr:row>32</xdr:row>
                    <xdr:rowOff>0</xdr:rowOff>
                  </from>
                  <to>
                    <xdr:col>2</xdr:col>
                    <xdr:colOff>3108960</xdr:colOff>
                    <xdr:row>33</xdr:row>
                    <xdr:rowOff>7620</xdr:rowOff>
                  </to>
                </anchor>
              </controlPr>
            </control>
          </mc:Choice>
        </mc:AlternateContent>
        <mc:AlternateContent xmlns:mc="http://schemas.openxmlformats.org/markup-compatibility/2006">
          <mc:Choice Requires="x14">
            <control shapeId="73730" r:id="rId5" name="Check Box 2">
              <controlPr defaultSize="0" autoFill="0" autoLine="0" autoPict="0">
                <anchor moveWithCells="1">
                  <from>
                    <xdr:col>2</xdr:col>
                    <xdr:colOff>99060</xdr:colOff>
                    <xdr:row>34</xdr:row>
                    <xdr:rowOff>0</xdr:rowOff>
                  </from>
                  <to>
                    <xdr:col>3</xdr:col>
                    <xdr:colOff>1021080</xdr:colOff>
                    <xdr:row>34</xdr:row>
                    <xdr:rowOff>160020</xdr:rowOff>
                  </to>
                </anchor>
              </controlPr>
            </control>
          </mc:Choice>
        </mc:AlternateContent>
        <mc:AlternateContent xmlns:mc="http://schemas.openxmlformats.org/markup-compatibility/2006">
          <mc:Choice Requires="x14">
            <control shapeId="73731" r:id="rId6" name="Check Box 3">
              <controlPr defaultSize="0" autoFill="0" autoLine="0" autoPict="0">
                <anchor moveWithCells="1">
                  <from>
                    <xdr:col>2</xdr:col>
                    <xdr:colOff>99060</xdr:colOff>
                    <xdr:row>32</xdr:row>
                    <xdr:rowOff>182880</xdr:rowOff>
                  </from>
                  <to>
                    <xdr:col>3</xdr:col>
                    <xdr:colOff>1981200</xdr:colOff>
                    <xdr:row>33</xdr:row>
                    <xdr:rowOff>182880</xdr:rowOff>
                  </to>
                </anchor>
              </controlPr>
            </control>
          </mc:Choice>
        </mc:AlternateContent>
        <mc:AlternateContent xmlns:mc="http://schemas.openxmlformats.org/markup-compatibility/2006">
          <mc:Choice Requires="x14">
            <control shapeId="73732" r:id="rId7" name="Check Box 4">
              <controlPr defaultSize="0" autoFill="0" autoLine="0" autoPict="0">
                <anchor moveWithCells="1">
                  <from>
                    <xdr:col>2</xdr:col>
                    <xdr:colOff>38100</xdr:colOff>
                    <xdr:row>36</xdr:row>
                    <xdr:rowOff>30480</xdr:rowOff>
                  </from>
                  <to>
                    <xdr:col>10</xdr:col>
                    <xdr:colOff>22860</xdr:colOff>
                    <xdr:row>36</xdr:row>
                    <xdr:rowOff>160020</xdr:rowOff>
                  </to>
                </anchor>
              </controlPr>
            </control>
          </mc:Choice>
        </mc:AlternateContent>
        <mc:AlternateContent xmlns:mc="http://schemas.openxmlformats.org/markup-compatibility/2006">
          <mc:Choice Requires="x14">
            <control shapeId="73733" r:id="rId8" name="Check Box 5">
              <controlPr defaultSize="0" autoFill="0" autoLine="0" autoPict="0">
                <anchor moveWithCells="1">
                  <from>
                    <xdr:col>2</xdr:col>
                    <xdr:colOff>45720</xdr:colOff>
                    <xdr:row>37</xdr:row>
                    <xdr:rowOff>30480</xdr:rowOff>
                  </from>
                  <to>
                    <xdr:col>10</xdr:col>
                    <xdr:colOff>403860</xdr:colOff>
                    <xdr:row>38</xdr:row>
                    <xdr:rowOff>0</xdr:rowOff>
                  </to>
                </anchor>
              </controlPr>
            </control>
          </mc:Choice>
        </mc:AlternateContent>
        <mc:AlternateContent xmlns:mc="http://schemas.openxmlformats.org/markup-compatibility/2006">
          <mc:Choice Requires="x14">
            <control shapeId="73734" r:id="rId9" name="Check Box 6">
              <controlPr defaultSize="0" autoFill="0" autoLine="0" autoPict="0">
                <anchor moveWithCells="1">
                  <from>
                    <xdr:col>2</xdr:col>
                    <xdr:colOff>45720</xdr:colOff>
                    <xdr:row>38</xdr:row>
                    <xdr:rowOff>7620</xdr:rowOff>
                  </from>
                  <to>
                    <xdr:col>6</xdr:col>
                    <xdr:colOff>1013460</xdr:colOff>
                    <xdr:row>39</xdr:row>
                    <xdr:rowOff>0</xdr:rowOff>
                  </to>
                </anchor>
              </controlPr>
            </control>
          </mc:Choice>
        </mc:AlternateContent>
        <mc:AlternateContent xmlns:mc="http://schemas.openxmlformats.org/markup-compatibility/2006">
          <mc:Choice Requires="x14">
            <control shapeId="73735" r:id="rId10" name="Check Box 7">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73736" r:id="rId11" name="Check Box 8">
              <controlPr defaultSize="0" autoFill="0" autoLine="0" autoPict="0">
                <anchor moveWithCells="1">
                  <from>
                    <xdr:col>2</xdr:col>
                    <xdr:colOff>99060</xdr:colOff>
                    <xdr:row>32</xdr:row>
                    <xdr:rowOff>0</xdr:rowOff>
                  </from>
                  <to>
                    <xdr:col>2</xdr:col>
                    <xdr:colOff>3108960</xdr:colOff>
                    <xdr:row>33</xdr:row>
                    <xdr:rowOff>7620</xdr:rowOff>
                  </to>
                </anchor>
              </controlPr>
            </control>
          </mc:Choice>
        </mc:AlternateContent>
        <mc:AlternateContent xmlns:mc="http://schemas.openxmlformats.org/markup-compatibility/2006">
          <mc:Choice Requires="x14">
            <control shapeId="73737" r:id="rId12" name="Check Box 9">
              <controlPr defaultSize="0" autoFill="0" autoLine="0" autoPict="0">
                <anchor moveWithCells="1">
                  <from>
                    <xdr:col>2</xdr:col>
                    <xdr:colOff>99060</xdr:colOff>
                    <xdr:row>34</xdr:row>
                    <xdr:rowOff>0</xdr:rowOff>
                  </from>
                  <to>
                    <xdr:col>3</xdr:col>
                    <xdr:colOff>1021080</xdr:colOff>
                    <xdr:row>34</xdr:row>
                    <xdr:rowOff>160020</xdr:rowOff>
                  </to>
                </anchor>
              </controlPr>
            </control>
          </mc:Choice>
        </mc:AlternateContent>
        <mc:AlternateContent xmlns:mc="http://schemas.openxmlformats.org/markup-compatibility/2006">
          <mc:Choice Requires="x14">
            <control shapeId="73738" r:id="rId13" name="Check Box 10">
              <controlPr defaultSize="0" autoFill="0" autoLine="0" autoPict="0">
                <anchor moveWithCells="1">
                  <from>
                    <xdr:col>2</xdr:col>
                    <xdr:colOff>99060</xdr:colOff>
                    <xdr:row>32</xdr:row>
                    <xdr:rowOff>182880</xdr:rowOff>
                  </from>
                  <to>
                    <xdr:col>3</xdr:col>
                    <xdr:colOff>1981200</xdr:colOff>
                    <xdr:row>33</xdr:row>
                    <xdr:rowOff>182880</xdr:rowOff>
                  </to>
                </anchor>
              </controlPr>
            </control>
          </mc:Choice>
        </mc:AlternateContent>
        <mc:AlternateContent xmlns:mc="http://schemas.openxmlformats.org/markup-compatibility/2006">
          <mc:Choice Requires="x14">
            <control shapeId="73739" r:id="rId14" name="Check Box 11">
              <controlPr defaultSize="0" autoFill="0" autoLine="0" autoPict="0">
                <anchor moveWithCells="1">
                  <from>
                    <xdr:col>2</xdr:col>
                    <xdr:colOff>45720</xdr:colOff>
                    <xdr:row>38</xdr:row>
                    <xdr:rowOff>7620</xdr:rowOff>
                  </from>
                  <to>
                    <xdr:col>6</xdr:col>
                    <xdr:colOff>1013460</xdr:colOff>
                    <xdr:row>39</xdr:row>
                    <xdr:rowOff>0</xdr:rowOff>
                  </to>
                </anchor>
              </controlPr>
            </control>
          </mc:Choice>
        </mc:AlternateContent>
        <mc:AlternateContent xmlns:mc="http://schemas.openxmlformats.org/markup-compatibility/2006">
          <mc:Choice Requires="x14">
            <control shapeId="73740" r:id="rId15" name="Check Box 12">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73741" r:id="rId16" name="Check Box 13">
              <controlPr defaultSize="0" autoFill="0" autoLine="0" autoPict="0">
                <anchor moveWithCells="1">
                  <from>
                    <xdr:col>2</xdr:col>
                    <xdr:colOff>99060</xdr:colOff>
                    <xdr:row>32</xdr:row>
                    <xdr:rowOff>0</xdr:rowOff>
                  </from>
                  <to>
                    <xdr:col>2</xdr:col>
                    <xdr:colOff>3108960</xdr:colOff>
                    <xdr:row>33</xdr:row>
                    <xdr:rowOff>7620</xdr:rowOff>
                  </to>
                </anchor>
              </controlPr>
            </control>
          </mc:Choice>
        </mc:AlternateContent>
        <mc:AlternateContent xmlns:mc="http://schemas.openxmlformats.org/markup-compatibility/2006">
          <mc:Choice Requires="x14">
            <control shapeId="73742" r:id="rId17" name="Check Box 14">
              <controlPr defaultSize="0" autoFill="0" autoLine="0" autoPict="0">
                <anchor moveWithCells="1">
                  <from>
                    <xdr:col>2</xdr:col>
                    <xdr:colOff>99060</xdr:colOff>
                    <xdr:row>34</xdr:row>
                    <xdr:rowOff>0</xdr:rowOff>
                  </from>
                  <to>
                    <xdr:col>3</xdr:col>
                    <xdr:colOff>1021080</xdr:colOff>
                    <xdr:row>34</xdr:row>
                    <xdr:rowOff>160020</xdr:rowOff>
                  </to>
                </anchor>
              </controlPr>
            </control>
          </mc:Choice>
        </mc:AlternateContent>
        <mc:AlternateContent xmlns:mc="http://schemas.openxmlformats.org/markup-compatibility/2006">
          <mc:Choice Requires="x14">
            <control shapeId="73743" r:id="rId18" name="Check Box 15">
              <controlPr defaultSize="0" autoFill="0" autoLine="0" autoPict="0">
                <anchor moveWithCells="1">
                  <from>
                    <xdr:col>2</xdr:col>
                    <xdr:colOff>99060</xdr:colOff>
                    <xdr:row>32</xdr:row>
                    <xdr:rowOff>182880</xdr:rowOff>
                  </from>
                  <to>
                    <xdr:col>3</xdr:col>
                    <xdr:colOff>1981200</xdr:colOff>
                    <xdr:row>33</xdr:row>
                    <xdr:rowOff>182880</xdr:rowOff>
                  </to>
                </anchor>
              </controlPr>
            </control>
          </mc:Choice>
        </mc:AlternateContent>
        <mc:AlternateContent xmlns:mc="http://schemas.openxmlformats.org/markup-compatibility/2006">
          <mc:Choice Requires="x14">
            <control shapeId="73744" r:id="rId19" name="Check Box 16">
              <controlPr defaultSize="0" autoFill="0" autoLine="0" autoPict="0">
                <anchor moveWithCells="1">
                  <from>
                    <xdr:col>2</xdr:col>
                    <xdr:colOff>38100</xdr:colOff>
                    <xdr:row>36</xdr:row>
                    <xdr:rowOff>30480</xdr:rowOff>
                  </from>
                  <to>
                    <xdr:col>10</xdr:col>
                    <xdr:colOff>22860</xdr:colOff>
                    <xdr:row>36</xdr:row>
                    <xdr:rowOff>160020</xdr:rowOff>
                  </to>
                </anchor>
              </controlPr>
            </control>
          </mc:Choice>
        </mc:AlternateContent>
        <mc:AlternateContent xmlns:mc="http://schemas.openxmlformats.org/markup-compatibility/2006">
          <mc:Choice Requires="x14">
            <control shapeId="73745" r:id="rId20" name="Check Box 17">
              <controlPr defaultSize="0" autoFill="0" autoLine="0" autoPict="0">
                <anchor moveWithCells="1">
                  <from>
                    <xdr:col>2</xdr:col>
                    <xdr:colOff>45720</xdr:colOff>
                    <xdr:row>37</xdr:row>
                    <xdr:rowOff>30480</xdr:rowOff>
                  </from>
                  <to>
                    <xdr:col>10</xdr:col>
                    <xdr:colOff>403860</xdr:colOff>
                    <xdr:row>38</xdr:row>
                    <xdr:rowOff>0</xdr:rowOff>
                  </to>
                </anchor>
              </controlPr>
            </control>
          </mc:Choice>
        </mc:AlternateContent>
        <mc:AlternateContent xmlns:mc="http://schemas.openxmlformats.org/markup-compatibility/2006">
          <mc:Choice Requires="x14">
            <control shapeId="73746" r:id="rId21" name="Check Box 18">
              <controlPr defaultSize="0" autoFill="0" autoLine="0" autoPict="0">
                <anchor moveWithCells="1">
                  <from>
                    <xdr:col>2</xdr:col>
                    <xdr:colOff>45720</xdr:colOff>
                    <xdr:row>38</xdr:row>
                    <xdr:rowOff>7620</xdr:rowOff>
                  </from>
                  <to>
                    <xdr:col>6</xdr:col>
                    <xdr:colOff>1013460</xdr:colOff>
                    <xdr:row>39</xdr:row>
                    <xdr:rowOff>0</xdr:rowOff>
                  </to>
                </anchor>
              </controlPr>
            </control>
          </mc:Choice>
        </mc:AlternateContent>
        <mc:AlternateContent xmlns:mc="http://schemas.openxmlformats.org/markup-compatibility/2006">
          <mc:Choice Requires="x14">
            <control shapeId="73747" r:id="rId22" name="Check Box 19">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73748" r:id="rId23" name="Check Box 20">
              <controlPr defaultSize="0" autoFill="0" autoLine="0" autoPict="0">
                <anchor moveWithCells="1">
                  <from>
                    <xdr:col>2</xdr:col>
                    <xdr:colOff>99060</xdr:colOff>
                    <xdr:row>32</xdr:row>
                    <xdr:rowOff>0</xdr:rowOff>
                  </from>
                  <to>
                    <xdr:col>2</xdr:col>
                    <xdr:colOff>3108960</xdr:colOff>
                    <xdr:row>33</xdr:row>
                    <xdr:rowOff>7620</xdr:rowOff>
                  </to>
                </anchor>
              </controlPr>
            </control>
          </mc:Choice>
        </mc:AlternateContent>
        <mc:AlternateContent xmlns:mc="http://schemas.openxmlformats.org/markup-compatibility/2006">
          <mc:Choice Requires="x14">
            <control shapeId="73749" r:id="rId24" name="Check Box 21">
              <controlPr defaultSize="0" autoFill="0" autoLine="0" autoPict="0">
                <anchor moveWithCells="1">
                  <from>
                    <xdr:col>2</xdr:col>
                    <xdr:colOff>99060</xdr:colOff>
                    <xdr:row>34</xdr:row>
                    <xdr:rowOff>0</xdr:rowOff>
                  </from>
                  <to>
                    <xdr:col>3</xdr:col>
                    <xdr:colOff>1021080</xdr:colOff>
                    <xdr:row>34</xdr:row>
                    <xdr:rowOff>160020</xdr:rowOff>
                  </to>
                </anchor>
              </controlPr>
            </control>
          </mc:Choice>
        </mc:AlternateContent>
        <mc:AlternateContent xmlns:mc="http://schemas.openxmlformats.org/markup-compatibility/2006">
          <mc:Choice Requires="x14">
            <control shapeId="73750" r:id="rId25" name="Check Box 22">
              <controlPr defaultSize="0" autoFill="0" autoLine="0" autoPict="0">
                <anchor moveWithCells="1">
                  <from>
                    <xdr:col>2</xdr:col>
                    <xdr:colOff>99060</xdr:colOff>
                    <xdr:row>32</xdr:row>
                    <xdr:rowOff>182880</xdr:rowOff>
                  </from>
                  <to>
                    <xdr:col>3</xdr:col>
                    <xdr:colOff>1981200</xdr:colOff>
                    <xdr:row>33</xdr:row>
                    <xdr:rowOff>182880</xdr:rowOff>
                  </to>
                </anchor>
              </controlPr>
            </control>
          </mc:Choice>
        </mc:AlternateContent>
        <mc:AlternateContent xmlns:mc="http://schemas.openxmlformats.org/markup-compatibility/2006">
          <mc:Choice Requires="x14">
            <control shapeId="73751" r:id="rId26" name="Check Box 23">
              <controlPr defaultSize="0" autoFill="0" autoLine="0" autoPict="0">
                <anchor moveWithCells="1">
                  <from>
                    <xdr:col>2</xdr:col>
                    <xdr:colOff>45720</xdr:colOff>
                    <xdr:row>38</xdr:row>
                    <xdr:rowOff>7620</xdr:rowOff>
                  </from>
                  <to>
                    <xdr:col>6</xdr:col>
                    <xdr:colOff>1013460</xdr:colOff>
                    <xdr:row>39</xdr:row>
                    <xdr:rowOff>0</xdr:rowOff>
                  </to>
                </anchor>
              </controlPr>
            </control>
          </mc:Choice>
        </mc:AlternateContent>
        <mc:AlternateContent xmlns:mc="http://schemas.openxmlformats.org/markup-compatibility/2006">
          <mc:Choice Requires="x14">
            <control shapeId="73752" r:id="rId27" name="Check Box 24">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73753" r:id="rId28" name="Check Box 25">
              <controlPr defaultSize="0" autoFill="0" autoLine="0" autoPict="0">
                <anchor moveWithCells="1">
                  <from>
                    <xdr:col>2</xdr:col>
                    <xdr:colOff>99060</xdr:colOff>
                    <xdr:row>32</xdr:row>
                    <xdr:rowOff>0</xdr:rowOff>
                  </from>
                  <to>
                    <xdr:col>2</xdr:col>
                    <xdr:colOff>3108960</xdr:colOff>
                    <xdr:row>33</xdr:row>
                    <xdr:rowOff>7620</xdr:rowOff>
                  </to>
                </anchor>
              </controlPr>
            </control>
          </mc:Choice>
        </mc:AlternateContent>
        <mc:AlternateContent xmlns:mc="http://schemas.openxmlformats.org/markup-compatibility/2006">
          <mc:Choice Requires="x14">
            <control shapeId="73754" r:id="rId29" name="Check Box 26">
              <controlPr defaultSize="0" autoFill="0" autoLine="0" autoPict="0">
                <anchor moveWithCells="1">
                  <from>
                    <xdr:col>2</xdr:col>
                    <xdr:colOff>99060</xdr:colOff>
                    <xdr:row>34</xdr:row>
                    <xdr:rowOff>0</xdr:rowOff>
                  </from>
                  <to>
                    <xdr:col>3</xdr:col>
                    <xdr:colOff>1021080</xdr:colOff>
                    <xdr:row>34</xdr:row>
                    <xdr:rowOff>160020</xdr:rowOff>
                  </to>
                </anchor>
              </controlPr>
            </control>
          </mc:Choice>
        </mc:AlternateContent>
        <mc:AlternateContent xmlns:mc="http://schemas.openxmlformats.org/markup-compatibility/2006">
          <mc:Choice Requires="x14">
            <control shapeId="73755" r:id="rId30" name="Check Box 27">
              <controlPr defaultSize="0" autoFill="0" autoLine="0" autoPict="0">
                <anchor moveWithCells="1">
                  <from>
                    <xdr:col>2</xdr:col>
                    <xdr:colOff>99060</xdr:colOff>
                    <xdr:row>32</xdr:row>
                    <xdr:rowOff>182880</xdr:rowOff>
                  </from>
                  <to>
                    <xdr:col>3</xdr:col>
                    <xdr:colOff>1935480</xdr:colOff>
                    <xdr:row>33</xdr:row>
                    <xdr:rowOff>182880</xdr:rowOff>
                  </to>
                </anchor>
              </controlPr>
            </control>
          </mc:Choice>
        </mc:AlternateContent>
        <mc:AlternateContent xmlns:mc="http://schemas.openxmlformats.org/markup-compatibility/2006">
          <mc:Choice Requires="x14">
            <control shapeId="73756" r:id="rId31" name="Check Box 28">
              <controlPr defaultSize="0" autoFill="0" autoLine="0" autoPict="0">
                <anchor moveWithCells="1">
                  <from>
                    <xdr:col>2</xdr:col>
                    <xdr:colOff>38100</xdr:colOff>
                    <xdr:row>36</xdr:row>
                    <xdr:rowOff>30480</xdr:rowOff>
                  </from>
                  <to>
                    <xdr:col>10</xdr:col>
                    <xdr:colOff>30480</xdr:colOff>
                    <xdr:row>36</xdr:row>
                    <xdr:rowOff>160020</xdr:rowOff>
                  </to>
                </anchor>
              </controlPr>
            </control>
          </mc:Choice>
        </mc:AlternateContent>
        <mc:AlternateContent xmlns:mc="http://schemas.openxmlformats.org/markup-compatibility/2006">
          <mc:Choice Requires="x14">
            <control shapeId="73757" r:id="rId32" name="Check Box 29">
              <controlPr defaultSize="0" autoFill="0" autoLine="0" autoPict="0">
                <anchor moveWithCells="1">
                  <from>
                    <xdr:col>2</xdr:col>
                    <xdr:colOff>45720</xdr:colOff>
                    <xdr:row>37</xdr:row>
                    <xdr:rowOff>30480</xdr:rowOff>
                  </from>
                  <to>
                    <xdr:col>10</xdr:col>
                    <xdr:colOff>403860</xdr:colOff>
                    <xdr:row>38</xdr:row>
                    <xdr:rowOff>0</xdr:rowOff>
                  </to>
                </anchor>
              </controlPr>
            </control>
          </mc:Choice>
        </mc:AlternateContent>
        <mc:AlternateContent xmlns:mc="http://schemas.openxmlformats.org/markup-compatibility/2006">
          <mc:Choice Requires="x14">
            <control shapeId="73758" r:id="rId33" name="Check Box 30">
              <controlPr defaultSize="0" autoFill="0" autoLine="0" autoPict="0">
                <anchor moveWithCells="1">
                  <from>
                    <xdr:col>2</xdr:col>
                    <xdr:colOff>45720</xdr:colOff>
                    <xdr:row>38</xdr:row>
                    <xdr:rowOff>7620</xdr:rowOff>
                  </from>
                  <to>
                    <xdr:col>6</xdr:col>
                    <xdr:colOff>998220</xdr:colOff>
                    <xdr:row>39</xdr:row>
                    <xdr:rowOff>0</xdr:rowOff>
                  </to>
                </anchor>
              </controlPr>
            </control>
          </mc:Choice>
        </mc:AlternateContent>
        <mc:AlternateContent xmlns:mc="http://schemas.openxmlformats.org/markup-compatibility/2006">
          <mc:Choice Requires="x14">
            <control shapeId="73759" r:id="rId34" name="Check Box 31">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73760" r:id="rId35" name="Check Box 32">
              <controlPr defaultSize="0" autoFill="0" autoLine="0" autoPict="0">
                <anchor moveWithCells="1">
                  <from>
                    <xdr:col>2</xdr:col>
                    <xdr:colOff>99060</xdr:colOff>
                    <xdr:row>32</xdr:row>
                    <xdr:rowOff>0</xdr:rowOff>
                  </from>
                  <to>
                    <xdr:col>2</xdr:col>
                    <xdr:colOff>3108960</xdr:colOff>
                    <xdr:row>33</xdr:row>
                    <xdr:rowOff>7620</xdr:rowOff>
                  </to>
                </anchor>
              </controlPr>
            </control>
          </mc:Choice>
        </mc:AlternateContent>
        <mc:AlternateContent xmlns:mc="http://schemas.openxmlformats.org/markup-compatibility/2006">
          <mc:Choice Requires="x14">
            <control shapeId="73761" r:id="rId36" name="Check Box 33">
              <controlPr defaultSize="0" autoFill="0" autoLine="0" autoPict="0">
                <anchor moveWithCells="1">
                  <from>
                    <xdr:col>2</xdr:col>
                    <xdr:colOff>99060</xdr:colOff>
                    <xdr:row>34</xdr:row>
                    <xdr:rowOff>0</xdr:rowOff>
                  </from>
                  <to>
                    <xdr:col>3</xdr:col>
                    <xdr:colOff>1021080</xdr:colOff>
                    <xdr:row>34</xdr:row>
                    <xdr:rowOff>160020</xdr:rowOff>
                  </to>
                </anchor>
              </controlPr>
            </control>
          </mc:Choice>
        </mc:AlternateContent>
        <mc:AlternateContent xmlns:mc="http://schemas.openxmlformats.org/markup-compatibility/2006">
          <mc:Choice Requires="x14">
            <control shapeId="73762" r:id="rId37" name="Check Box 34">
              <controlPr defaultSize="0" autoFill="0" autoLine="0" autoPict="0">
                <anchor moveWithCells="1">
                  <from>
                    <xdr:col>2</xdr:col>
                    <xdr:colOff>99060</xdr:colOff>
                    <xdr:row>32</xdr:row>
                    <xdr:rowOff>182880</xdr:rowOff>
                  </from>
                  <to>
                    <xdr:col>3</xdr:col>
                    <xdr:colOff>1935480</xdr:colOff>
                    <xdr:row>33</xdr:row>
                    <xdr:rowOff>182880</xdr:rowOff>
                  </to>
                </anchor>
              </controlPr>
            </control>
          </mc:Choice>
        </mc:AlternateContent>
        <mc:AlternateContent xmlns:mc="http://schemas.openxmlformats.org/markup-compatibility/2006">
          <mc:Choice Requires="x14">
            <control shapeId="73763" r:id="rId38" name="Check Box 35">
              <controlPr defaultSize="0" autoFill="0" autoLine="0" autoPict="0">
                <anchor moveWithCells="1">
                  <from>
                    <xdr:col>2</xdr:col>
                    <xdr:colOff>45720</xdr:colOff>
                    <xdr:row>38</xdr:row>
                    <xdr:rowOff>7620</xdr:rowOff>
                  </from>
                  <to>
                    <xdr:col>6</xdr:col>
                    <xdr:colOff>998220</xdr:colOff>
                    <xdr:row>39</xdr:row>
                    <xdr:rowOff>0</xdr:rowOff>
                  </to>
                </anchor>
              </controlPr>
            </control>
          </mc:Choice>
        </mc:AlternateContent>
        <mc:AlternateContent xmlns:mc="http://schemas.openxmlformats.org/markup-compatibility/2006">
          <mc:Choice Requires="x14">
            <control shapeId="73764" r:id="rId39" name="Check Box 36">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73765" r:id="rId40" name="Check Box 37">
              <controlPr defaultSize="0" autoFill="0" autoLine="0" autoPict="0">
                <anchor moveWithCells="1">
                  <from>
                    <xdr:col>2</xdr:col>
                    <xdr:colOff>99060</xdr:colOff>
                    <xdr:row>32</xdr:row>
                    <xdr:rowOff>0</xdr:rowOff>
                  </from>
                  <to>
                    <xdr:col>2</xdr:col>
                    <xdr:colOff>3108960</xdr:colOff>
                    <xdr:row>33</xdr:row>
                    <xdr:rowOff>7620</xdr:rowOff>
                  </to>
                </anchor>
              </controlPr>
            </control>
          </mc:Choice>
        </mc:AlternateContent>
        <mc:AlternateContent xmlns:mc="http://schemas.openxmlformats.org/markup-compatibility/2006">
          <mc:Choice Requires="x14">
            <control shapeId="73766" r:id="rId41" name="Check Box 38">
              <controlPr defaultSize="0" autoFill="0" autoLine="0" autoPict="0">
                <anchor moveWithCells="1">
                  <from>
                    <xdr:col>2</xdr:col>
                    <xdr:colOff>99060</xdr:colOff>
                    <xdr:row>34</xdr:row>
                    <xdr:rowOff>0</xdr:rowOff>
                  </from>
                  <to>
                    <xdr:col>3</xdr:col>
                    <xdr:colOff>1021080</xdr:colOff>
                    <xdr:row>34</xdr:row>
                    <xdr:rowOff>160020</xdr:rowOff>
                  </to>
                </anchor>
              </controlPr>
            </control>
          </mc:Choice>
        </mc:AlternateContent>
        <mc:AlternateContent xmlns:mc="http://schemas.openxmlformats.org/markup-compatibility/2006">
          <mc:Choice Requires="x14">
            <control shapeId="73767" r:id="rId42" name="Check Box 39">
              <controlPr defaultSize="0" autoFill="0" autoLine="0" autoPict="0">
                <anchor moveWithCells="1">
                  <from>
                    <xdr:col>2</xdr:col>
                    <xdr:colOff>99060</xdr:colOff>
                    <xdr:row>32</xdr:row>
                    <xdr:rowOff>182880</xdr:rowOff>
                  </from>
                  <to>
                    <xdr:col>3</xdr:col>
                    <xdr:colOff>1935480</xdr:colOff>
                    <xdr:row>33</xdr:row>
                    <xdr:rowOff>182880</xdr:rowOff>
                  </to>
                </anchor>
              </controlPr>
            </control>
          </mc:Choice>
        </mc:AlternateContent>
        <mc:AlternateContent xmlns:mc="http://schemas.openxmlformats.org/markup-compatibility/2006">
          <mc:Choice Requires="x14">
            <control shapeId="73768" r:id="rId43" name="Check Box 40">
              <controlPr defaultSize="0" autoFill="0" autoLine="0" autoPict="0">
                <anchor moveWithCells="1">
                  <from>
                    <xdr:col>2</xdr:col>
                    <xdr:colOff>38100</xdr:colOff>
                    <xdr:row>36</xdr:row>
                    <xdr:rowOff>30480</xdr:rowOff>
                  </from>
                  <to>
                    <xdr:col>10</xdr:col>
                    <xdr:colOff>30480</xdr:colOff>
                    <xdr:row>36</xdr:row>
                    <xdr:rowOff>160020</xdr:rowOff>
                  </to>
                </anchor>
              </controlPr>
            </control>
          </mc:Choice>
        </mc:AlternateContent>
        <mc:AlternateContent xmlns:mc="http://schemas.openxmlformats.org/markup-compatibility/2006">
          <mc:Choice Requires="x14">
            <control shapeId="73769" r:id="rId44" name="Check Box 41">
              <controlPr defaultSize="0" autoFill="0" autoLine="0" autoPict="0">
                <anchor moveWithCells="1">
                  <from>
                    <xdr:col>2</xdr:col>
                    <xdr:colOff>45720</xdr:colOff>
                    <xdr:row>37</xdr:row>
                    <xdr:rowOff>30480</xdr:rowOff>
                  </from>
                  <to>
                    <xdr:col>10</xdr:col>
                    <xdr:colOff>403860</xdr:colOff>
                    <xdr:row>38</xdr:row>
                    <xdr:rowOff>0</xdr:rowOff>
                  </to>
                </anchor>
              </controlPr>
            </control>
          </mc:Choice>
        </mc:AlternateContent>
        <mc:AlternateContent xmlns:mc="http://schemas.openxmlformats.org/markup-compatibility/2006">
          <mc:Choice Requires="x14">
            <control shapeId="73770" r:id="rId45" name="Check Box 42">
              <controlPr defaultSize="0" autoFill="0" autoLine="0" autoPict="0">
                <anchor moveWithCells="1">
                  <from>
                    <xdr:col>2</xdr:col>
                    <xdr:colOff>45720</xdr:colOff>
                    <xdr:row>38</xdr:row>
                    <xdr:rowOff>7620</xdr:rowOff>
                  </from>
                  <to>
                    <xdr:col>6</xdr:col>
                    <xdr:colOff>998220</xdr:colOff>
                    <xdr:row>39</xdr:row>
                    <xdr:rowOff>0</xdr:rowOff>
                  </to>
                </anchor>
              </controlPr>
            </control>
          </mc:Choice>
        </mc:AlternateContent>
        <mc:AlternateContent xmlns:mc="http://schemas.openxmlformats.org/markup-compatibility/2006">
          <mc:Choice Requires="x14">
            <control shapeId="73771" r:id="rId46" name="Check Box 43">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73772" r:id="rId47" name="Check Box 44">
              <controlPr defaultSize="0" autoFill="0" autoLine="0" autoPict="0">
                <anchor moveWithCells="1">
                  <from>
                    <xdr:col>2</xdr:col>
                    <xdr:colOff>99060</xdr:colOff>
                    <xdr:row>32</xdr:row>
                    <xdr:rowOff>0</xdr:rowOff>
                  </from>
                  <to>
                    <xdr:col>2</xdr:col>
                    <xdr:colOff>3108960</xdr:colOff>
                    <xdr:row>33</xdr:row>
                    <xdr:rowOff>7620</xdr:rowOff>
                  </to>
                </anchor>
              </controlPr>
            </control>
          </mc:Choice>
        </mc:AlternateContent>
        <mc:AlternateContent xmlns:mc="http://schemas.openxmlformats.org/markup-compatibility/2006">
          <mc:Choice Requires="x14">
            <control shapeId="73773" r:id="rId48" name="Check Box 45">
              <controlPr defaultSize="0" autoFill="0" autoLine="0" autoPict="0">
                <anchor moveWithCells="1">
                  <from>
                    <xdr:col>2</xdr:col>
                    <xdr:colOff>99060</xdr:colOff>
                    <xdr:row>34</xdr:row>
                    <xdr:rowOff>0</xdr:rowOff>
                  </from>
                  <to>
                    <xdr:col>3</xdr:col>
                    <xdr:colOff>1021080</xdr:colOff>
                    <xdr:row>34</xdr:row>
                    <xdr:rowOff>160020</xdr:rowOff>
                  </to>
                </anchor>
              </controlPr>
            </control>
          </mc:Choice>
        </mc:AlternateContent>
        <mc:AlternateContent xmlns:mc="http://schemas.openxmlformats.org/markup-compatibility/2006">
          <mc:Choice Requires="x14">
            <control shapeId="73774" r:id="rId49" name="Check Box 46">
              <controlPr defaultSize="0" autoFill="0" autoLine="0" autoPict="0">
                <anchor moveWithCells="1">
                  <from>
                    <xdr:col>2</xdr:col>
                    <xdr:colOff>99060</xdr:colOff>
                    <xdr:row>32</xdr:row>
                    <xdr:rowOff>182880</xdr:rowOff>
                  </from>
                  <to>
                    <xdr:col>3</xdr:col>
                    <xdr:colOff>1935480</xdr:colOff>
                    <xdr:row>33</xdr:row>
                    <xdr:rowOff>182880</xdr:rowOff>
                  </to>
                </anchor>
              </controlPr>
            </control>
          </mc:Choice>
        </mc:AlternateContent>
        <mc:AlternateContent xmlns:mc="http://schemas.openxmlformats.org/markup-compatibility/2006">
          <mc:Choice Requires="x14">
            <control shapeId="73775" r:id="rId50" name="Check Box 47">
              <controlPr defaultSize="0" autoFill="0" autoLine="0" autoPict="0">
                <anchor moveWithCells="1">
                  <from>
                    <xdr:col>2</xdr:col>
                    <xdr:colOff>45720</xdr:colOff>
                    <xdr:row>38</xdr:row>
                    <xdr:rowOff>7620</xdr:rowOff>
                  </from>
                  <to>
                    <xdr:col>6</xdr:col>
                    <xdr:colOff>998220</xdr:colOff>
                    <xdr:row>39</xdr:row>
                    <xdr:rowOff>0</xdr:rowOff>
                  </to>
                </anchor>
              </controlPr>
            </control>
          </mc:Choice>
        </mc:AlternateContent>
        <mc:AlternateContent xmlns:mc="http://schemas.openxmlformats.org/markup-compatibility/2006">
          <mc:Choice Requires="x14">
            <control shapeId="73776" r:id="rId51" name="Check Box 48">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workbookViewId="0">
      <selection activeCell="E5" sqref="E5:I5"/>
    </sheetView>
  </sheetViews>
  <sheetFormatPr defaultColWidth="9.109375" defaultRowHeight="15.6"/>
  <cols>
    <col min="1" max="1" width="9.109375" style="71"/>
    <col min="2" max="2" width="13.5546875" style="71" customWidth="1"/>
    <col min="3" max="3" width="11.44140625" style="71" customWidth="1"/>
    <col min="4" max="4" width="13" style="71" customWidth="1"/>
    <col min="5" max="5" width="11.44140625" style="71" customWidth="1"/>
    <col min="6" max="6" width="10.33203125" style="71" customWidth="1"/>
    <col min="7" max="7" width="10" style="71" customWidth="1"/>
    <col min="8" max="8" width="10.6640625" style="71" customWidth="1"/>
    <col min="9" max="9" width="53.5546875" style="71" customWidth="1"/>
    <col min="10" max="10" width="73.33203125" style="71" customWidth="1"/>
    <col min="11" max="11" width="16.44140625" style="71" customWidth="1"/>
    <col min="12" max="12" width="24.109375" style="71" customWidth="1"/>
    <col min="13" max="15" width="20.109375" style="71" customWidth="1"/>
    <col min="16" max="16" width="26.109375" style="71" customWidth="1"/>
    <col min="17" max="17" width="18.109375" style="71" customWidth="1"/>
    <col min="18" max="18" width="15.33203125" style="71" customWidth="1"/>
    <col min="19" max="19" width="15.6640625" style="71" customWidth="1"/>
    <col min="20" max="20" width="10.6640625" style="71" customWidth="1"/>
    <col min="21" max="21" width="11.44140625" style="71" customWidth="1"/>
    <col min="22" max="22" width="9.109375" style="71"/>
    <col min="23" max="23" width="14.88671875" style="71" hidden="1" customWidth="1"/>
    <col min="24" max="16384" width="9.109375" style="71"/>
  </cols>
  <sheetData>
    <row r="1" spans="1:16">
      <c r="A1" s="2" t="s">
        <v>176</v>
      </c>
    </row>
    <row r="2" spans="1:16" ht="18">
      <c r="A2" s="118"/>
    </row>
    <row r="3" spans="1:16">
      <c r="A3" s="2" t="s">
        <v>268</v>
      </c>
    </row>
    <row r="5" spans="1:16">
      <c r="B5" s="119" t="s">
        <v>726</v>
      </c>
      <c r="E5" s="800" t="s">
        <v>640</v>
      </c>
      <c r="F5" s="800"/>
      <c r="G5" s="800"/>
      <c r="H5" s="800"/>
      <c r="I5" s="800"/>
    </row>
    <row r="7" spans="1:16" ht="42" customHeight="1">
      <c r="B7" s="779" t="s">
        <v>5</v>
      </c>
      <c r="C7" s="779"/>
      <c r="D7" s="775" t="s">
        <v>124</v>
      </c>
      <c r="E7" s="775"/>
      <c r="F7" s="780" t="s">
        <v>123</v>
      </c>
      <c r="G7" s="781"/>
      <c r="H7" s="782"/>
      <c r="I7" s="773" t="s">
        <v>175</v>
      </c>
      <c r="J7" s="773" t="s">
        <v>174</v>
      </c>
      <c r="K7" s="773" t="s">
        <v>180</v>
      </c>
      <c r="L7" s="773" t="s">
        <v>181</v>
      </c>
      <c r="M7" s="775" t="s">
        <v>122</v>
      </c>
      <c r="N7" s="773" t="s">
        <v>121</v>
      </c>
      <c r="O7" s="773" t="s">
        <v>173</v>
      </c>
      <c r="P7" s="775" t="s">
        <v>183</v>
      </c>
    </row>
    <row r="8" spans="1:16" ht="22.5" customHeight="1">
      <c r="B8" s="354" t="s">
        <v>1</v>
      </c>
      <c r="C8" s="354" t="s">
        <v>20</v>
      </c>
      <c r="D8" s="353" t="s">
        <v>120</v>
      </c>
      <c r="E8" s="354" t="s">
        <v>20</v>
      </c>
      <c r="F8" s="354" t="s">
        <v>54</v>
      </c>
      <c r="G8" s="354" t="s">
        <v>72</v>
      </c>
      <c r="H8" s="354" t="s">
        <v>97</v>
      </c>
      <c r="I8" s="774"/>
      <c r="J8" s="774"/>
      <c r="K8" s="774"/>
      <c r="L8" s="774"/>
      <c r="M8" s="775"/>
      <c r="N8" s="774"/>
      <c r="O8" s="774"/>
      <c r="P8" s="775"/>
    </row>
    <row r="9" spans="1:16" ht="360.6">
      <c r="B9" s="369">
        <v>1155</v>
      </c>
      <c r="C9" s="370"/>
      <c r="D9" s="371" t="s">
        <v>641</v>
      </c>
      <c r="E9" s="372" t="s">
        <v>642</v>
      </c>
      <c r="F9" s="373">
        <v>28000</v>
      </c>
      <c r="G9" s="373">
        <v>28000</v>
      </c>
      <c r="H9" s="373">
        <v>28000</v>
      </c>
      <c r="I9" s="374" t="s">
        <v>643</v>
      </c>
      <c r="J9" s="375" t="s">
        <v>644</v>
      </c>
      <c r="K9" s="376"/>
      <c r="L9" s="377" t="s">
        <v>645</v>
      </c>
      <c r="M9" s="378" t="s">
        <v>646</v>
      </c>
      <c r="N9" s="379" t="s">
        <v>647</v>
      </c>
      <c r="O9" s="380"/>
      <c r="P9" s="370" t="s">
        <v>134</v>
      </c>
    </row>
    <row r="10" spans="1:16">
      <c r="B10" s="70"/>
      <c r="C10" s="70"/>
      <c r="D10" s="70"/>
      <c r="E10" s="70"/>
      <c r="F10" s="381"/>
      <c r="G10" s="70"/>
      <c r="H10" s="70"/>
      <c r="I10" s="70"/>
      <c r="J10" s="70"/>
      <c r="K10" s="70"/>
      <c r="L10" s="377"/>
      <c r="M10" s="382"/>
      <c r="N10" s="377"/>
      <c r="O10" s="70"/>
      <c r="P10" s="70"/>
    </row>
    <row r="11" spans="1:16">
      <c r="B11" s="70"/>
      <c r="C11" s="70"/>
      <c r="D11" s="70"/>
      <c r="E11" s="70"/>
      <c r="F11" s="70"/>
      <c r="G11" s="70"/>
      <c r="H11" s="70"/>
      <c r="I11" s="70"/>
      <c r="J11" s="70"/>
      <c r="K11" s="70"/>
      <c r="L11" s="70"/>
      <c r="M11" s="70"/>
      <c r="N11" s="70"/>
      <c r="O11" s="70"/>
      <c r="P11" s="70"/>
    </row>
    <row r="12" spans="1:16">
      <c r="B12" s="70" t="s">
        <v>119</v>
      </c>
      <c r="C12" s="70"/>
      <c r="D12" s="70"/>
      <c r="E12" s="70"/>
      <c r="F12" s="151"/>
      <c r="G12" s="151"/>
      <c r="H12" s="151"/>
      <c r="I12" s="70"/>
      <c r="J12" s="70"/>
      <c r="K12" s="151"/>
      <c r="L12" s="151"/>
      <c r="M12" s="151"/>
      <c r="N12" s="151"/>
      <c r="O12" s="151"/>
      <c r="P12" s="70"/>
    </row>
    <row r="13" spans="1:16" ht="26.25" customHeight="1">
      <c r="B13" s="70" t="s">
        <v>9</v>
      </c>
      <c r="C13" s="70"/>
      <c r="D13" s="70"/>
      <c r="E13" s="70"/>
      <c r="F13" s="383">
        <f>SUM(F9)</f>
        <v>28000</v>
      </c>
      <c r="G13" s="383">
        <f t="shared" ref="G13:H13" si="0">SUM(G9)</f>
        <v>28000</v>
      </c>
      <c r="H13" s="383">
        <f t="shared" si="0"/>
        <v>28000</v>
      </c>
      <c r="I13" s="70"/>
      <c r="J13" s="70"/>
      <c r="K13" s="151"/>
      <c r="L13" s="151"/>
      <c r="M13" s="151"/>
      <c r="N13" s="151"/>
      <c r="O13" s="151"/>
      <c r="P13" s="70"/>
    </row>
    <row r="14" spans="1:16" hidden="1">
      <c r="B14" s="776" t="s">
        <v>9</v>
      </c>
      <c r="C14" s="777"/>
      <c r="D14" s="777"/>
      <c r="E14" s="778"/>
      <c r="F14" s="147">
        <f>SUM(F9:F13)</f>
        <v>56000</v>
      </c>
      <c r="G14" s="147">
        <f>SUM(G9:G13)</f>
        <v>56000</v>
      </c>
      <c r="H14" s="147">
        <f>SUM(H9:H13)</f>
        <v>56000</v>
      </c>
      <c r="I14" s="117" t="s">
        <v>39</v>
      </c>
      <c r="J14" s="117" t="s">
        <v>39</v>
      </c>
      <c r="K14" s="117" t="s">
        <v>39</v>
      </c>
      <c r="L14" s="117" t="s">
        <v>39</v>
      </c>
      <c r="M14" s="117"/>
      <c r="N14" s="117"/>
      <c r="O14" s="117"/>
      <c r="P14" s="117" t="s">
        <v>39</v>
      </c>
    </row>
    <row r="17" spans="1:6">
      <c r="B17" s="384" t="s">
        <v>189</v>
      </c>
      <c r="C17" s="152"/>
      <c r="D17" s="152"/>
      <c r="E17" s="152"/>
      <c r="F17" s="152"/>
    </row>
    <row r="18" spans="1:6">
      <c r="B18" s="153" t="s">
        <v>177</v>
      </c>
      <c r="C18" s="152"/>
      <c r="D18" s="152"/>
      <c r="E18" s="152"/>
      <c r="F18" s="152"/>
    </row>
    <row r="19" spans="1:6">
      <c r="A19" s="158" t="s">
        <v>119</v>
      </c>
      <c r="B19" s="153" t="s">
        <v>178</v>
      </c>
      <c r="C19" s="152"/>
      <c r="D19" s="152"/>
      <c r="E19" s="152"/>
      <c r="F19" s="152"/>
    </row>
    <row r="20" spans="1:6">
      <c r="C20" s="152"/>
      <c r="D20" s="152"/>
      <c r="E20" s="152"/>
      <c r="F20" s="152"/>
    </row>
  </sheetData>
  <mergeCells count="13">
    <mergeCell ref="B14:E14"/>
    <mergeCell ref="F7:H7"/>
    <mergeCell ref="M7:M8"/>
    <mergeCell ref="B7:C7"/>
    <mergeCell ref="D7:E7"/>
    <mergeCell ref="L7:L8"/>
    <mergeCell ref="E5:I5"/>
    <mergeCell ref="J7:J8"/>
    <mergeCell ref="K7:K8"/>
    <mergeCell ref="I7:I8"/>
    <mergeCell ref="P7:P8"/>
    <mergeCell ref="O7:O8"/>
    <mergeCell ref="N7:N8"/>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01"/>
  <sheetViews>
    <sheetView topLeftCell="A19" workbookViewId="0">
      <selection sqref="A1:XFD1048576"/>
    </sheetView>
  </sheetViews>
  <sheetFormatPr defaultColWidth="9.109375" defaultRowHeight="15"/>
  <cols>
    <col min="1" max="1" width="9.109375" style="60"/>
    <col min="2" max="2" width="62.44140625" style="146" customWidth="1"/>
    <col min="3" max="3" width="50.33203125" style="60" customWidth="1"/>
    <col min="4" max="4" width="24" style="60" customWidth="1"/>
    <col min="5" max="5" width="27.88671875" style="60" customWidth="1"/>
    <col min="6" max="6" width="19" style="60" customWidth="1"/>
    <col min="7" max="7" width="28.33203125" style="60" customWidth="1"/>
    <col min="8" max="8" width="4" style="60" hidden="1" customWidth="1"/>
    <col min="9" max="10" width="7.88671875" style="60" hidden="1" customWidth="1"/>
    <col min="11" max="16384" width="9.109375" style="60"/>
  </cols>
  <sheetData>
    <row r="1" spans="1:10" ht="18.600000000000001">
      <c r="A1" s="2" t="s">
        <v>197</v>
      </c>
      <c r="B1" s="60"/>
      <c r="C1" s="120"/>
      <c r="D1" s="120"/>
      <c r="E1" s="121"/>
      <c r="F1" s="121"/>
      <c r="H1" s="121" t="s">
        <v>125</v>
      </c>
      <c r="I1" s="121" t="s">
        <v>126</v>
      </c>
      <c r="J1" s="60" t="s">
        <v>127</v>
      </c>
    </row>
    <row r="2" spans="1:10" ht="18">
      <c r="A2" s="122"/>
      <c r="B2" s="123"/>
      <c r="C2" s="120"/>
      <c r="D2" s="120"/>
      <c r="E2" s="121"/>
      <c r="F2" s="121"/>
      <c r="H2" s="121" t="s">
        <v>128</v>
      </c>
      <c r="I2" s="60" t="s">
        <v>129</v>
      </c>
      <c r="J2" s="124" t="s">
        <v>130</v>
      </c>
    </row>
    <row r="3" spans="1:10" ht="18">
      <c r="A3" s="119" t="s">
        <v>131</v>
      </c>
      <c r="B3" s="123"/>
      <c r="C3" s="120"/>
      <c r="D3" s="120"/>
      <c r="E3" s="121"/>
      <c r="F3" s="121"/>
      <c r="H3" s="121" t="s">
        <v>132</v>
      </c>
      <c r="I3" s="60" t="s">
        <v>133</v>
      </c>
      <c r="J3" s="124" t="s">
        <v>134</v>
      </c>
    </row>
    <row r="4" spans="1:10" ht="18">
      <c r="A4" s="122"/>
      <c r="B4" s="123"/>
      <c r="C4" s="120"/>
      <c r="D4" s="120"/>
      <c r="E4" s="121"/>
      <c r="F4" s="121"/>
      <c r="H4" s="121" t="s">
        <v>135</v>
      </c>
      <c r="J4" s="124" t="s">
        <v>136</v>
      </c>
    </row>
    <row r="5" spans="1:10" ht="18">
      <c r="A5" s="122"/>
      <c r="B5" s="125" t="s">
        <v>198</v>
      </c>
      <c r="C5" s="126" t="s">
        <v>640</v>
      </c>
      <c r="D5" s="120"/>
      <c r="E5" s="121"/>
      <c r="F5" s="121"/>
      <c r="G5" s="121"/>
    </row>
    <row r="6" spans="1:10" ht="30" customHeight="1">
      <c r="A6" s="122"/>
      <c r="B6" s="125" t="s">
        <v>199</v>
      </c>
      <c r="C6" s="126"/>
      <c r="D6" s="120"/>
      <c r="E6" s="121"/>
      <c r="F6" s="121"/>
      <c r="G6" s="121"/>
    </row>
    <row r="7" spans="1:10" ht="18">
      <c r="A7" s="122"/>
      <c r="B7" s="123"/>
      <c r="C7" s="120"/>
      <c r="D7" s="120"/>
      <c r="E7" s="121"/>
      <c r="F7" s="121"/>
      <c r="G7" s="121"/>
    </row>
    <row r="8" spans="1:10" ht="18">
      <c r="A8" s="119" t="s">
        <v>137</v>
      </c>
      <c r="B8" s="123"/>
      <c r="C8" s="120"/>
      <c r="D8" s="120"/>
      <c r="E8" s="121"/>
      <c r="F8" s="121"/>
      <c r="G8" s="121"/>
    </row>
    <row r="9" spans="1:10" ht="18">
      <c r="A9" s="119"/>
      <c r="B9" s="123"/>
      <c r="C9" s="120"/>
      <c r="D9" s="120"/>
      <c r="E9" s="121"/>
      <c r="F9" s="121"/>
      <c r="G9" s="121"/>
    </row>
    <row r="10" spans="1:10" ht="41.25" customHeight="1">
      <c r="A10" s="119"/>
      <c r="B10" s="125" t="s">
        <v>200</v>
      </c>
      <c r="C10" s="724" t="s">
        <v>641</v>
      </c>
      <c r="D10" s="725"/>
      <c r="E10" s="725"/>
      <c r="F10" s="725"/>
      <c r="G10" s="121"/>
    </row>
    <row r="11" spans="1:10" ht="18">
      <c r="A11" s="119"/>
      <c r="B11" s="125" t="s">
        <v>201</v>
      </c>
      <c r="C11" s="126">
        <v>1155</v>
      </c>
      <c r="G11" s="121"/>
    </row>
    <row r="12" spans="1:10" ht="18">
      <c r="A12" s="119"/>
      <c r="B12" s="127">
        <v>7</v>
      </c>
      <c r="C12" s="128"/>
      <c r="D12" s="120"/>
      <c r="E12" s="121"/>
      <c r="F12" s="121"/>
      <c r="G12" s="121"/>
    </row>
    <row r="13" spans="1:10" ht="18">
      <c r="A13" s="119"/>
      <c r="B13" s="125" t="s">
        <v>138</v>
      </c>
      <c r="C13" s="126" t="s">
        <v>873</v>
      </c>
      <c r="D13" s="120"/>
      <c r="E13" s="121"/>
      <c r="F13" s="121"/>
      <c r="G13" s="121"/>
    </row>
    <row r="14" spans="1:10" ht="18">
      <c r="A14" s="119"/>
      <c r="B14" s="125" t="s">
        <v>202</v>
      </c>
      <c r="C14" s="523" t="s">
        <v>723</v>
      </c>
      <c r="D14" s="120"/>
      <c r="E14" s="121"/>
      <c r="F14" s="121"/>
      <c r="G14" s="121"/>
    </row>
    <row r="15" spans="1:10" ht="18">
      <c r="A15" s="119"/>
      <c r="B15" s="123"/>
      <c r="C15" s="115"/>
      <c r="D15" s="120"/>
      <c r="E15" s="121"/>
      <c r="F15" s="121"/>
      <c r="G15" s="121"/>
    </row>
    <row r="16" spans="1:10" ht="18">
      <c r="A16" s="119" t="s">
        <v>139</v>
      </c>
      <c r="B16" s="123"/>
      <c r="C16" s="115"/>
      <c r="D16" s="120"/>
      <c r="E16" s="121"/>
      <c r="F16" s="121"/>
      <c r="G16" s="121"/>
    </row>
    <row r="17" spans="1:10" ht="43.5" customHeight="1">
      <c r="B17" s="125" t="s">
        <v>203</v>
      </c>
      <c r="C17" s="579" t="s">
        <v>642</v>
      </c>
      <c r="D17" s="120"/>
      <c r="E17" s="121"/>
      <c r="F17" s="121"/>
      <c r="G17" s="121"/>
    </row>
    <row r="18" spans="1:10" ht="18">
      <c r="A18" s="119"/>
      <c r="B18" s="125" t="s">
        <v>204</v>
      </c>
      <c r="C18" s="126" t="s">
        <v>1085</v>
      </c>
      <c r="D18" s="120"/>
      <c r="E18" s="121"/>
      <c r="F18" s="121"/>
      <c r="G18" s="121"/>
    </row>
    <row r="19" spans="1:10" ht="18">
      <c r="A19" s="119"/>
      <c r="B19" s="120"/>
      <c r="C19" s="120"/>
      <c r="D19" s="120"/>
      <c r="E19" s="121"/>
      <c r="F19" s="121"/>
      <c r="G19" s="121"/>
    </row>
    <row r="20" spans="1:10" ht="26.25" customHeight="1">
      <c r="A20" s="119"/>
      <c r="B20" s="125" t="s">
        <v>226</v>
      </c>
      <c r="C20" s="129" t="s">
        <v>128</v>
      </c>
      <c r="F20" s="121"/>
      <c r="G20" s="121"/>
    </row>
    <row r="21" spans="1:10" ht="18">
      <c r="A21" s="119"/>
      <c r="B21" s="60"/>
      <c r="C21" s="130"/>
      <c r="F21" s="121"/>
      <c r="G21" s="121"/>
    </row>
    <row r="22" spans="1:10" ht="18">
      <c r="A22" s="119"/>
      <c r="B22" s="125" t="s">
        <v>822</v>
      </c>
      <c r="C22" s="525" t="s">
        <v>129</v>
      </c>
      <c r="D22" s="120"/>
      <c r="E22" s="121"/>
      <c r="F22" s="121"/>
      <c r="G22" s="121"/>
    </row>
    <row r="23" spans="1:10" ht="18">
      <c r="A23" s="119"/>
      <c r="B23" s="73"/>
      <c r="C23" s="523"/>
      <c r="D23" s="120"/>
      <c r="E23" s="121"/>
      <c r="F23" s="121"/>
      <c r="G23" s="121"/>
    </row>
    <row r="24" spans="1:10" customFormat="1" ht="15.75" customHeight="1">
      <c r="A24" s="119" t="s">
        <v>140</v>
      </c>
      <c r="C24" s="118"/>
      <c r="D24" s="118"/>
      <c r="E24" s="118"/>
      <c r="F24" s="118"/>
      <c r="G24" s="118"/>
      <c r="H24" s="118"/>
      <c r="I24" s="118"/>
      <c r="J24" s="118"/>
    </row>
    <row r="25" spans="1:10" customFormat="1" ht="18">
      <c r="B25" s="118"/>
      <c r="C25" s="118"/>
      <c r="D25" s="118"/>
      <c r="E25" s="118"/>
      <c r="F25" s="118"/>
      <c r="G25" s="118"/>
      <c r="H25" s="118"/>
      <c r="I25" s="118"/>
      <c r="J25" s="118"/>
    </row>
    <row r="26" spans="1:10" customFormat="1" ht="79.8">
      <c r="B26" s="131" t="s">
        <v>227</v>
      </c>
      <c r="C26" s="131" t="s">
        <v>228</v>
      </c>
      <c r="D26" s="131" t="s">
        <v>229</v>
      </c>
      <c r="E26" s="131" t="s">
        <v>230</v>
      </c>
      <c r="F26" s="118"/>
      <c r="G26" s="118"/>
      <c r="H26" s="118"/>
      <c r="I26" s="118"/>
      <c r="J26" s="118"/>
    </row>
    <row r="27" spans="1:10" customFormat="1" ht="94.5" customHeight="1">
      <c r="B27" s="726" t="s">
        <v>134</v>
      </c>
      <c r="C27" s="478" t="s">
        <v>1086</v>
      </c>
      <c r="D27" s="500" t="s">
        <v>1087</v>
      </c>
      <c r="E27" s="500"/>
      <c r="F27" s="727"/>
      <c r="G27" s="118"/>
      <c r="H27" s="118"/>
      <c r="I27" s="118"/>
      <c r="J27" s="71"/>
    </row>
    <row r="28" spans="1:10" ht="69.75" customHeight="1">
      <c r="A28" s="119"/>
      <c r="B28" s="123"/>
      <c r="C28" s="500" t="s">
        <v>1088</v>
      </c>
      <c r="D28" s="728"/>
      <c r="E28" s="500" t="s">
        <v>1089</v>
      </c>
      <c r="F28" s="727"/>
      <c r="G28" s="121"/>
    </row>
    <row r="29" spans="1:10" ht="64.5" customHeight="1">
      <c r="A29" s="119"/>
      <c r="B29" s="123"/>
      <c r="C29" s="500" t="s">
        <v>1090</v>
      </c>
      <c r="D29" s="728"/>
      <c r="E29" s="500" t="s">
        <v>1091</v>
      </c>
      <c r="F29" s="729"/>
      <c r="G29" s="121"/>
    </row>
    <row r="30" spans="1:10" ht="92.25" customHeight="1">
      <c r="A30" s="119"/>
      <c r="B30" s="123"/>
      <c r="C30" s="500" t="s">
        <v>1092</v>
      </c>
      <c r="D30" s="730"/>
      <c r="E30" s="500" t="s">
        <v>1093</v>
      </c>
      <c r="F30" s="727"/>
      <c r="G30" s="121"/>
    </row>
    <row r="31" spans="1:10" ht="98.25" customHeight="1">
      <c r="A31" s="119"/>
      <c r="B31" s="123"/>
      <c r="C31" s="500" t="s">
        <v>1094</v>
      </c>
      <c r="D31" s="731"/>
      <c r="E31" s="500" t="s">
        <v>1095</v>
      </c>
      <c r="F31" s="732"/>
      <c r="G31" s="121"/>
    </row>
    <row r="32" spans="1:10" s="133" customFormat="1" ht="20.25" customHeight="1">
      <c r="A32" s="119" t="s">
        <v>141</v>
      </c>
      <c r="D32" s="733"/>
    </row>
    <row r="33" spans="1:7" s="133" customFormat="1" ht="15" customHeight="1"/>
    <row r="34" spans="1:7" s="133" customFormat="1" ht="171" customHeight="1">
      <c r="B34" s="125" t="s">
        <v>231</v>
      </c>
      <c r="C34" s="801" t="s">
        <v>1096</v>
      </c>
      <c r="D34" s="801"/>
      <c r="E34" s="801"/>
      <c r="F34" s="801"/>
      <c r="G34" s="801"/>
    </row>
    <row r="35" spans="1:7" s="133" customFormat="1" ht="17.25" customHeight="1"/>
    <row r="36" spans="1:7" s="133" customFormat="1" ht="15" customHeight="1">
      <c r="B36" s="788" t="s">
        <v>232</v>
      </c>
    </row>
    <row r="37" spans="1:7" s="133" customFormat="1" ht="15" customHeight="1">
      <c r="B37" s="788"/>
    </row>
    <row r="38" spans="1:7" s="133" customFormat="1" ht="15" customHeight="1">
      <c r="B38" s="788"/>
      <c r="C38" s="134"/>
    </row>
    <row r="39" spans="1:7" s="133" customFormat="1" ht="15" customHeight="1"/>
    <row r="40" spans="1:7" s="133" customFormat="1" ht="13.5" customHeight="1">
      <c r="B40" s="789" t="s">
        <v>233</v>
      </c>
    </row>
    <row r="41" spans="1:7" s="133" customFormat="1">
      <c r="B41" s="790"/>
    </row>
    <row r="42" spans="1:7" s="133" customFormat="1">
      <c r="B42" s="791"/>
    </row>
    <row r="43" spans="1:7" s="133" customFormat="1"/>
    <row r="44" spans="1:7" s="133" customFormat="1"/>
    <row r="45" spans="1:7" s="133" customFormat="1" ht="16.2">
      <c r="A45" s="119" t="s">
        <v>234</v>
      </c>
    </row>
    <row r="46" spans="1:7" s="133" customFormat="1"/>
    <row r="47" spans="1:7" s="133" customFormat="1" ht="299.25" customHeight="1">
      <c r="B47" s="802" t="s">
        <v>1097</v>
      </c>
      <c r="C47" s="803"/>
      <c r="D47" s="803"/>
      <c r="E47" s="804"/>
    </row>
    <row r="48" spans="1:7" s="133" customFormat="1" ht="15" customHeight="1"/>
    <row r="49" spans="1:7" s="133" customFormat="1" ht="15" customHeight="1">
      <c r="A49" s="119" t="s">
        <v>235</v>
      </c>
    </row>
    <row r="50" spans="1:7" s="133" customFormat="1" ht="15" customHeight="1"/>
    <row r="51" spans="1:7" s="133" customFormat="1" ht="63.75" customHeight="1">
      <c r="B51" s="805" t="s">
        <v>1098</v>
      </c>
      <c r="C51" s="806"/>
      <c r="D51" s="806"/>
      <c r="E51" s="806"/>
    </row>
    <row r="52" spans="1:7" s="133" customFormat="1" ht="15" customHeight="1"/>
    <row r="53" spans="1:7" s="133" customFormat="1" ht="15" customHeight="1">
      <c r="A53" s="119" t="s">
        <v>236</v>
      </c>
    </row>
    <row r="54" spans="1:7" s="133" customFormat="1" ht="15" customHeight="1"/>
    <row r="55" spans="1:7" s="133" customFormat="1" ht="85.5" customHeight="1">
      <c r="B55" s="807" t="s">
        <v>1099</v>
      </c>
      <c r="C55" s="808"/>
      <c r="D55" s="808"/>
      <c r="E55" s="808"/>
    </row>
    <row r="56" spans="1:7" s="133" customFormat="1"/>
    <row r="57" spans="1:7" s="133" customFormat="1">
      <c r="A57" s="119" t="s">
        <v>142</v>
      </c>
    </row>
    <row r="58" spans="1:7" s="133" customFormat="1"/>
    <row r="59" spans="1:7" s="133" customFormat="1" ht="15" customHeight="1">
      <c r="B59" s="786" t="s">
        <v>237</v>
      </c>
      <c r="C59" s="786" t="s">
        <v>143</v>
      </c>
      <c r="D59" s="786" t="s">
        <v>54</v>
      </c>
      <c r="E59" s="786" t="s">
        <v>72</v>
      </c>
      <c r="F59" s="786" t="s">
        <v>97</v>
      </c>
      <c r="G59" s="470" t="s">
        <v>238</v>
      </c>
    </row>
    <row r="60" spans="1:7" s="133" customFormat="1">
      <c r="B60" s="787"/>
      <c r="C60" s="787"/>
      <c r="D60" s="787"/>
      <c r="E60" s="787"/>
      <c r="F60" s="787"/>
      <c r="G60" s="470" t="str">
        <f>C14</f>
        <v>2027 և շարունակական</v>
      </c>
    </row>
    <row r="61" spans="1:7" ht="46.5" customHeight="1">
      <c r="B61" s="551" t="s">
        <v>1100</v>
      </c>
      <c r="C61" s="734" t="s">
        <v>1101</v>
      </c>
      <c r="D61" s="735">
        <v>34</v>
      </c>
      <c r="E61" s="139">
        <v>34</v>
      </c>
      <c r="F61" s="140">
        <v>34</v>
      </c>
      <c r="G61" s="809" t="s">
        <v>647</v>
      </c>
    </row>
    <row r="62" spans="1:7" ht="36.75" customHeight="1">
      <c r="B62" s="551" t="s">
        <v>1102</v>
      </c>
      <c r="C62" s="734" t="s">
        <v>1101</v>
      </c>
      <c r="D62" s="735">
        <v>34</v>
      </c>
      <c r="E62" s="139">
        <v>34</v>
      </c>
      <c r="F62" s="140">
        <v>34</v>
      </c>
      <c r="G62" s="810"/>
    </row>
    <row r="63" spans="1:7">
      <c r="B63" s="133"/>
    </row>
    <row r="64" spans="1:7">
      <c r="A64" s="119" t="s">
        <v>144</v>
      </c>
      <c r="B64" s="133"/>
    </row>
    <row r="65" spans="1:7">
      <c r="B65" s="133"/>
    </row>
    <row r="66" spans="1:7" ht="15" customHeight="1">
      <c r="B66" s="786" t="s">
        <v>239</v>
      </c>
      <c r="C66" s="786" t="s">
        <v>145</v>
      </c>
      <c r="D66" s="786" t="s">
        <v>54</v>
      </c>
      <c r="E66" s="786" t="s">
        <v>72</v>
      </c>
      <c r="F66" s="786" t="s">
        <v>97</v>
      </c>
      <c r="G66" s="470" t="s">
        <v>146</v>
      </c>
    </row>
    <row r="67" spans="1:7" ht="14.4">
      <c r="B67" s="787"/>
      <c r="C67" s="787"/>
      <c r="D67" s="787"/>
      <c r="E67" s="787"/>
      <c r="F67" s="787"/>
      <c r="G67" s="470" t="str">
        <f>C14</f>
        <v>2027 և շարունակական</v>
      </c>
    </row>
    <row r="68" spans="1:7" ht="26.4">
      <c r="B68" s="503" t="s">
        <v>1103</v>
      </c>
      <c r="C68" s="470" t="s">
        <v>10</v>
      </c>
      <c r="D68" s="464">
        <v>28000</v>
      </c>
      <c r="E68" s="736">
        <v>28000</v>
      </c>
      <c r="F68" s="737">
        <v>28000</v>
      </c>
      <c r="G68" s="809" t="s">
        <v>647</v>
      </c>
    </row>
    <row r="69" spans="1:7">
      <c r="B69" s="136"/>
      <c r="C69" s="470" t="s">
        <v>10</v>
      </c>
      <c r="D69" s="139"/>
      <c r="E69" s="139"/>
      <c r="F69" s="141"/>
      <c r="G69" s="810"/>
    </row>
    <row r="70" spans="1:7" ht="14.4">
      <c r="B70" s="142" t="s">
        <v>9</v>
      </c>
      <c r="C70" s="142" t="s">
        <v>10</v>
      </c>
      <c r="D70" s="142">
        <f>SUM(D68:D69)</f>
        <v>28000</v>
      </c>
      <c r="E70" s="142">
        <f>SUM(E68:E69)</f>
        <v>28000</v>
      </c>
      <c r="F70" s="142">
        <f>SUM(F68:F69)</f>
        <v>28000</v>
      </c>
      <c r="G70" s="142">
        <f>SUM(G68:G69)</f>
        <v>0</v>
      </c>
    </row>
    <row r="71" spans="1:7" ht="14.4">
      <c r="B71" s="60"/>
    </row>
    <row r="72" spans="1:7">
      <c r="A72" s="119" t="s">
        <v>147</v>
      </c>
      <c r="B72" s="60"/>
    </row>
    <row r="73" spans="1:7" ht="14.4">
      <c r="B73" s="60"/>
    </row>
    <row r="74" spans="1:7" ht="15" customHeight="1">
      <c r="B74" s="786" t="s">
        <v>240</v>
      </c>
      <c r="C74" s="786" t="s">
        <v>145</v>
      </c>
      <c r="D74" s="786" t="s">
        <v>54</v>
      </c>
      <c r="E74" s="786" t="s">
        <v>72</v>
      </c>
      <c r="F74" s="786" t="s">
        <v>97</v>
      </c>
      <c r="G74" s="470" t="s">
        <v>146</v>
      </c>
    </row>
    <row r="75" spans="1:7" ht="14.4">
      <c r="B75" s="787"/>
      <c r="C75" s="787"/>
      <c r="D75" s="787"/>
      <c r="E75" s="787"/>
      <c r="F75" s="787"/>
      <c r="G75" s="470" t="str">
        <f>C14</f>
        <v>2027 և շարունակական</v>
      </c>
    </row>
    <row r="76" spans="1:7">
      <c r="B76" s="469" t="s">
        <v>148</v>
      </c>
      <c r="C76" s="143" t="s">
        <v>10</v>
      </c>
      <c r="D76" s="738">
        <f>D70</f>
        <v>28000</v>
      </c>
      <c r="E76" s="142">
        <f>E70</f>
        <v>28000</v>
      </c>
      <c r="F76" s="142">
        <f>F70</f>
        <v>28000</v>
      </c>
      <c r="G76" s="142">
        <f>G70</f>
        <v>0</v>
      </c>
    </row>
    <row r="77" spans="1:7">
      <c r="B77" s="144" t="s">
        <v>149</v>
      </c>
      <c r="C77" s="143" t="s">
        <v>10</v>
      </c>
      <c r="D77" s="739">
        <v>28000</v>
      </c>
      <c r="E77" s="139">
        <v>28000</v>
      </c>
      <c r="F77" s="737">
        <v>28000</v>
      </c>
      <c r="G77" s="138"/>
    </row>
    <row r="78" spans="1:7" ht="24" customHeight="1">
      <c r="B78" s="145" t="s">
        <v>150</v>
      </c>
      <c r="C78" s="143" t="s">
        <v>10</v>
      </c>
      <c r="D78" s="139"/>
      <c r="E78" s="139"/>
      <c r="F78" s="140"/>
      <c r="G78" s="138"/>
    </row>
    <row r="79" spans="1:7">
      <c r="B79" s="144" t="s">
        <v>151</v>
      </c>
      <c r="C79" s="143" t="s">
        <v>10</v>
      </c>
      <c r="D79" s="142">
        <f>SUM(D80:D81)</f>
        <v>0</v>
      </c>
      <c r="E79" s="142">
        <f>SUM(E80:E81)</f>
        <v>0</v>
      </c>
      <c r="F79" s="142">
        <f>SUM(F80:F81)</f>
        <v>0</v>
      </c>
      <c r="G79" s="142">
        <f>SUM(G80:G81)</f>
        <v>0</v>
      </c>
    </row>
    <row r="80" spans="1:7">
      <c r="B80" s="136"/>
      <c r="C80" s="143" t="s">
        <v>10</v>
      </c>
      <c r="D80" s="139"/>
      <c r="E80" s="139"/>
      <c r="F80" s="140"/>
      <c r="G80" s="138"/>
    </row>
    <row r="81" spans="1:7">
      <c r="B81" s="136"/>
      <c r="C81" s="143" t="s">
        <v>10</v>
      </c>
      <c r="D81" s="139"/>
      <c r="E81" s="139"/>
      <c r="F81" s="140"/>
      <c r="G81" s="138"/>
    </row>
    <row r="82" spans="1:7" ht="15.75" customHeight="1">
      <c r="B82" s="469" t="s">
        <v>152</v>
      </c>
      <c r="C82" s="143" t="s">
        <v>10</v>
      </c>
      <c r="D82" s="142">
        <f>D76-D79-D78</f>
        <v>28000</v>
      </c>
      <c r="E82" s="142">
        <f>E76-E79-E78</f>
        <v>28000</v>
      </c>
      <c r="F82" s="142">
        <f>F76-F79-F78</f>
        <v>28000</v>
      </c>
      <c r="G82" s="142">
        <f>G76-G79-G78</f>
        <v>0</v>
      </c>
    </row>
    <row r="83" spans="1:7" ht="14.4">
      <c r="B83" s="60"/>
    </row>
    <row r="84" spans="1:7" ht="19.5" customHeight="1">
      <c r="A84" s="119" t="s">
        <v>185</v>
      </c>
      <c r="B84" s="60"/>
    </row>
    <row r="85" spans="1:7" ht="21" customHeight="1">
      <c r="B85" s="60"/>
    </row>
    <row r="86" spans="1:7" ht="16.2">
      <c r="B86" s="469" t="s">
        <v>241</v>
      </c>
      <c r="C86" s="783"/>
      <c r="D86" s="784"/>
      <c r="E86" s="785"/>
    </row>
    <row r="87" spans="1:7" ht="14.4">
      <c r="B87" s="60"/>
    </row>
    <row r="88" spans="1:7" ht="16.2">
      <c r="A88" s="119" t="s">
        <v>242</v>
      </c>
      <c r="B88" s="154"/>
    </row>
    <row r="89" spans="1:7" ht="14.4">
      <c r="B89" s="60"/>
    </row>
    <row r="90" spans="1:7" ht="14.4">
      <c r="B90" s="469" t="s">
        <v>186</v>
      </c>
      <c r="C90" s="783"/>
      <c r="D90" s="784"/>
      <c r="E90" s="785"/>
    </row>
    <row r="91" spans="1:7" ht="14.4">
      <c r="B91" s="469" t="s">
        <v>187</v>
      </c>
      <c r="C91" s="783"/>
      <c r="D91" s="784"/>
      <c r="E91" s="785"/>
    </row>
    <row r="92" spans="1:7" ht="24.75" customHeight="1">
      <c r="A92" s="119" t="s">
        <v>243</v>
      </c>
      <c r="B92" s="60"/>
    </row>
    <row r="93" spans="1:7" ht="14.4">
      <c r="B93" s="60"/>
    </row>
    <row r="94" spans="1:7" ht="14.4">
      <c r="B94" s="783"/>
      <c r="C94" s="784"/>
      <c r="D94" s="784"/>
      <c r="E94" s="785"/>
    </row>
    <row r="96" spans="1:7">
      <c r="A96" s="119" t="s">
        <v>188</v>
      </c>
    </row>
    <row r="98" spans="2:5" ht="14.4">
      <c r="B98" s="783"/>
      <c r="C98" s="784"/>
      <c r="D98" s="784"/>
      <c r="E98" s="785"/>
    </row>
    <row r="101" spans="2:5" ht="15.6">
      <c r="B101" s="384" t="s">
        <v>190</v>
      </c>
    </row>
  </sheetData>
  <mergeCells count="28">
    <mergeCell ref="B98:E98"/>
    <mergeCell ref="G68:G69"/>
    <mergeCell ref="B74:B75"/>
    <mergeCell ref="C74:C75"/>
    <mergeCell ref="D74:D75"/>
    <mergeCell ref="E74:E75"/>
    <mergeCell ref="F74:F75"/>
    <mergeCell ref="G61:G62"/>
    <mergeCell ref="B66:B67"/>
    <mergeCell ref="C66:C67"/>
    <mergeCell ref="D66:D67"/>
    <mergeCell ref="E66:E67"/>
    <mergeCell ref="F66:F67"/>
    <mergeCell ref="B55:E55"/>
    <mergeCell ref="B59:B60"/>
    <mergeCell ref="C59:C60"/>
    <mergeCell ref="D59:D60"/>
    <mergeCell ref="E59:E60"/>
    <mergeCell ref="C34:G34"/>
    <mergeCell ref="B36:B38"/>
    <mergeCell ref="B40:B42"/>
    <mergeCell ref="B47:E47"/>
    <mergeCell ref="B51:E51"/>
    <mergeCell ref="F59:F60"/>
    <mergeCell ref="C86:E86"/>
    <mergeCell ref="C90:E90"/>
    <mergeCell ref="C91:E91"/>
    <mergeCell ref="B94:E94"/>
  </mergeCells>
  <dataValidations count="4">
    <dataValidation type="list" allowBlank="1" showInputMessage="1" showErrorMessage="1" sqref="C20:C21">
      <formula1>$H$2:$H$4</formula1>
    </dataValidation>
    <dataValidation type="list" allowBlank="1" showInputMessage="1" showErrorMessage="1" sqref="B27">
      <formula1>$J$2:$J$4</formula1>
    </dataValidation>
    <dataValidation type="list" allowBlank="1" showInputMessage="1" showErrorMessage="1" sqref="C22">
      <formula1>$I$3:$I$4</formula1>
    </dataValidation>
    <dataValidation type="list" allowBlank="1" showInputMessage="1" showErrorMessage="1" sqref="C23">
      <formula1>$H$3:$H$5</formula1>
    </dataValidation>
  </dataValidations>
  <hyperlinks>
    <hyperlink ref="C26" location="_ftn1" display="_ftn1"/>
    <hyperlink ref="D26" location="_ftn2" display="_ftn2"/>
    <hyperlink ref="E26" location="_ftn3" display="_ftn3"/>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2705" r:id="rId4" name="Check Box 1">
              <controlPr defaultSize="0" autoFill="0" autoLine="0" autoPict="0">
                <anchor moveWithCells="1">
                  <from>
                    <xdr:col>2</xdr:col>
                    <xdr:colOff>99060</xdr:colOff>
                    <xdr:row>32</xdr:row>
                    <xdr:rowOff>0</xdr:rowOff>
                  </from>
                  <to>
                    <xdr:col>2</xdr:col>
                    <xdr:colOff>3108960</xdr:colOff>
                    <xdr:row>33</xdr:row>
                    <xdr:rowOff>7620</xdr:rowOff>
                  </to>
                </anchor>
              </controlPr>
            </control>
          </mc:Choice>
        </mc:AlternateContent>
        <mc:AlternateContent xmlns:mc="http://schemas.openxmlformats.org/markup-compatibility/2006">
          <mc:Choice Requires="x14">
            <control shapeId="72706" r:id="rId5" name="Check Box 2">
              <controlPr defaultSize="0" autoFill="0" autoLine="0" autoPict="0">
                <anchor moveWithCells="1">
                  <from>
                    <xdr:col>2</xdr:col>
                    <xdr:colOff>99060</xdr:colOff>
                    <xdr:row>34</xdr:row>
                    <xdr:rowOff>0</xdr:rowOff>
                  </from>
                  <to>
                    <xdr:col>3</xdr:col>
                    <xdr:colOff>1021080</xdr:colOff>
                    <xdr:row>34</xdr:row>
                    <xdr:rowOff>160020</xdr:rowOff>
                  </to>
                </anchor>
              </controlPr>
            </control>
          </mc:Choice>
        </mc:AlternateContent>
        <mc:AlternateContent xmlns:mc="http://schemas.openxmlformats.org/markup-compatibility/2006">
          <mc:Choice Requires="x14">
            <control shapeId="72707" r:id="rId6" name="Check Box 3">
              <controlPr defaultSize="0" autoFill="0" autoLine="0" autoPict="0">
                <anchor moveWithCells="1">
                  <from>
                    <xdr:col>2</xdr:col>
                    <xdr:colOff>99060</xdr:colOff>
                    <xdr:row>32</xdr:row>
                    <xdr:rowOff>182880</xdr:rowOff>
                  </from>
                  <to>
                    <xdr:col>4</xdr:col>
                    <xdr:colOff>335280</xdr:colOff>
                    <xdr:row>33</xdr:row>
                    <xdr:rowOff>182880</xdr:rowOff>
                  </to>
                </anchor>
              </controlPr>
            </control>
          </mc:Choice>
        </mc:AlternateContent>
        <mc:AlternateContent xmlns:mc="http://schemas.openxmlformats.org/markup-compatibility/2006">
          <mc:Choice Requires="x14">
            <control shapeId="72708" r:id="rId7" name="Check Box 4">
              <controlPr defaultSize="0" autoFill="0" autoLine="0" autoPict="0">
                <anchor moveWithCells="1">
                  <from>
                    <xdr:col>2</xdr:col>
                    <xdr:colOff>38100</xdr:colOff>
                    <xdr:row>36</xdr:row>
                    <xdr:rowOff>30480</xdr:rowOff>
                  </from>
                  <to>
                    <xdr:col>13</xdr:col>
                    <xdr:colOff>213360</xdr:colOff>
                    <xdr:row>36</xdr:row>
                    <xdr:rowOff>160020</xdr:rowOff>
                  </to>
                </anchor>
              </controlPr>
            </control>
          </mc:Choice>
        </mc:AlternateContent>
        <mc:AlternateContent xmlns:mc="http://schemas.openxmlformats.org/markup-compatibility/2006">
          <mc:Choice Requires="x14">
            <control shapeId="72709" r:id="rId8" name="Check Box 5">
              <controlPr defaultSize="0" autoFill="0" autoLine="0" autoPict="0">
                <anchor moveWithCells="1">
                  <from>
                    <xdr:col>2</xdr:col>
                    <xdr:colOff>45720</xdr:colOff>
                    <xdr:row>37</xdr:row>
                    <xdr:rowOff>30480</xdr:rowOff>
                  </from>
                  <to>
                    <xdr:col>13</xdr:col>
                    <xdr:colOff>601980</xdr:colOff>
                    <xdr:row>38</xdr:row>
                    <xdr:rowOff>0</xdr:rowOff>
                  </to>
                </anchor>
              </controlPr>
            </control>
          </mc:Choice>
        </mc:AlternateContent>
        <mc:AlternateContent xmlns:mc="http://schemas.openxmlformats.org/markup-compatibility/2006">
          <mc:Choice Requires="x14">
            <control shapeId="72710" r:id="rId9" name="Check Box 6">
              <controlPr defaultSize="0" autoFill="0" autoLine="0" autoPict="0">
                <anchor moveWithCells="1">
                  <from>
                    <xdr:col>2</xdr:col>
                    <xdr:colOff>45720</xdr:colOff>
                    <xdr:row>38</xdr:row>
                    <xdr:rowOff>7620</xdr:rowOff>
                  </from>
                  <to>
                    <xdr:col>11</xdr:col>
                    <xdr:colOff>518160</xdr:colOff>
                    <xdr:row>39</xdr:row>
                    <xdr:rowOff>0</xdr:rowOff>
                  </to>
                </anchor>
              </controlPr>
            </control>
          </mc:Choice>
        </mc:AlternateContent>
        <mc:AlternateContent xmlns:mc="http://schemas.openxmlformats.org/markup-compatibility/2006">
          <mc:Choice Requires="x14">
            <control shapeId="72711" r:id="rId10" name="Check Box 7">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72712" r:id="rId11" name="Check Box 8">
              <controlPr defaultSize="0" autoFill="0" autoLine="0" autoPict="0">
                <anchor moveWithCells="1">
                  <from>
                    <xdr:col>2</xdr:col>
                    <xdr:colOff>99060</xdr:colOff>
                    <xdr:row>32</xdr:row>
                    <xdr:rowOff>0</xdr:rowOff>
                  </from>
                  <to>
                    <xdr:col>2</xdr:col>
                    <xdr:colOff>3108960</xdr:colOff>
                    <xdr:row>33</xdr:row>
                    <xdr:rowOff>7620</xdr:rowOff>
                  </to>
                </anchor>
              </controlPr>
            </control>
          </mc:Choice>
        </mc:AlternateContent>
        <mc:AlternateContent xmlns:mc="http://schemas.openxmlformats.org/markup-compatibility/2006">
          <mc:Choice Requires="x14">
            <control shapeId="72713" r:id="rId12" name="Check Box 9">
              <controlPr defaultSize="0" autoFill="0" autoLine="0" autoPict="0">
                <anchor moveWithCells="1">
                  <from>
                    <xdr:col>2</xdr:col>
                    <xdr:colOff>99060</xdr:colOff>
                    <xdr:row>34</xdr:row>
                    <xdr:rowOff>0</xdr:rowOff>
                  </from>
                  <to>
                    <xdr:col>3</xdr:col>
                    <xdr:colOff>1021080</xdr:colOff>
                    <xdr:row>34</xdr:row>
                    <xdr:rowOff>160020</xdr:rowOff>
                  </to>
                </anchor>
              </controlPr>
            </control>
          </mc:Choice>
        </mc:AlternateContent>
        <mc:AlternateContent xmlns:mc="http://schemas.openxmlformats.org/markup-compatibility/2006">
          <mc:Choice Requires="x14">
            <control shapeId="72714" r:id="rId13" name="Check Box 10">
              <controlPr defaultSize="0" autoFill="0" autoLine="0" autoPict="0">
                <anchor moveWithCells="1">
                  <from>
                    <xdr:col>2</xdr:col>
                    <xdr:colOff>99060</xdr:colOff>
                    <xdr:row>32</xdr:row>
                    <xdr:rowOff>182880</xdr:rowOff>
                  </from>
                  <to>
                    <xdr:col>4</xdr:col>
                    <xdr:colOff>335280</xdr:colOff>
                    <xdr:row>33</xdr:row>
                    <xdr:rowOff>182880</xdr:rowOff>
                  </to>
                </anchor>
              </controlPr>
            </control>
          </mc:Choice>
        </mc:AlternateContent>
        <mc:AlternateContent xmlns:mc="http://schemas.openxmlformats.org/markup-compatibility/2006">
          <mc:Choice Requires="x14">
            <control shapeId="72715" r:id="rId14" name="Check Box 11">
              <controlPr defaultSize="0" autoFill="0" autoLine="0" autoPict="0">
                <anchor moveWithCells="1">
                  <from>
                    <xdr:col>2</xdr:col>
                    <xdr:colOff>45720</xdr:colOff>
                    <xdr:row>38</xdr:row>
                    <xdr:rowOff>7620</xdr:rowOff>
                  </from>
                  <to>
                    <xdr:col>11</xdr:col>
                    <xdr:colOff>518160</xdr:colOff>
                    <xdr:row>39</xdr:row>
                    <xdr:rowOff>0</xdr:rowOff>
                  </to>
                </anchor>
              </controlPr>
            </control>
          </mc:Choice>
        </mc:AlternateContent>
        <mc:AlternateContent xmlns:mc="http://schemas.openxmlformats.org/markup-compatibility/2006">
          <mc:Choice Requires="x14">
            <control shapeId="72716" r:id="rId15" name="Check Box 12">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72717" r:id="rId16" name="Check Box 13">
              <controlPr defaultSize="0" autoFill="0" autoLine="0" autoPict="0">
                <anchor moveWithCells="1">
                  <from>
                    <xdr:col>2</xdr:col>
                    <xdr:colOff>99060</xdr:colOff>
                    <xdr:row>32</xdr:row>
                    <xdr:rowOff>0</xdr:rowOff>
                  </from>
                  <to>
                    <xdr:col>2</xdr:col>
                    <xdr:colOff>3108960</xdr:colOff>
                    <xdr:row>33</xdr:row>
                    <xdr:rowOff>7620</xdr:rowOff>
                  </to>
                </anchor>
              </controlPr>
            </control>
          </mc:Choice>
        </mc:AlternateContent>
        <mc:AlternateContent xmlns:mc="http://schemas.openxmlformats.org/markup-compatibility/2006">
          <mc:Choice Requires="x14">
            <control shapeId="72718" r:id="rId17" name="Check Box 14">
              <controlPr defaultSize="0" autoFill="0" autoLine="0" autoPict="0">
                <anchor moveWithCells="1">
                  <from>
                    <xdr:col>2</xdr:col>
                    <xdr:colOff>99060</xdr:colOff>
                    <xdr:row>34</xdr:row>
                    <xdr:rowOff>0</xdr:rowOff>
                  </from>
                  <to>
                    <xdr:col>3</xdr:col>
                    <xdr:colOff>1021080</xdr:colOff>
                    <xdr:row>34</xdr:row>
                    <xdr:rowOff>160020</xdr:rowOff>
                  </to>
                </anchor>
              </controlPr>
            </control>
          </mc:Choice>
        </mc:AlternateContent>
        <mc:AlternateContent xmlns:mc="http://schemas.openxmlformats.org/markup-compatibility/2006">
          <mc:Choice Requires="x14">
            <control shapeId="72719" r:id="rId18" name="Check Box 15">
              <controlPr defaultSize="0" autoFill="0" autoLine="0" autoPict="0">
                <anchor moveWithCells="1">
                  <from>
                    <xdr:col>2</xdr:col>
                    <xdr:colOff>99060</xdr:colOff>
                    <xdr:row>32</xdr:row>
                    <xdr:rowOff>182880</xdr:rowOff>
                  </from>
                  <to>
                    <xdr:col>4</xdr:col>
                    <xdr:colOff>335280</xdr:colOff>
                    <xdr:row>33</xdr:row>
                    <xdr:rowOff>182880</xdr:rowOff>
                  </to>
                </anchor>
              </controlPr>
            </control>
          </mc:Choice>
        </mc:AlternateContent>
        <mc:AlternateContent xmlns:mc="http://schemas.openxmlformats.org/markup-compatibility/2006">
          <mc:Choice Requires="x14">
            <control shapeId="72720" r:id="rId19" name="Check Box 16">
              <controlPr defaultSize="0" autoFill="0" autoLine="0" autoPict="0">
                <anchor moveWithCells="1">
                  <from>
                    <xdr:col>2</xdr:col>
                    <xdr:colOff>38100</xdr:colOff>
                    <xdr:row>36</xdr:row>
                    <xdr:rowOff>30480</xdr:rowOff>
                  </from>
                  <to>
                    <xdr:col>13</xdr:col>
                    <xdr:colOff>213360</xdr:colOff>
                    <xdr:row>36</xdr:row>
                    <xdr:rowOff>160020</xdr:rowOff>
                  </to>
                </anchor>
              </controlPr>
            </control>
          </mc:Choice>
        </mc:AlternateContent>
        <mc:AlternateContent xmlns:mc="http://schemas.openxmlformats.org/markup-compatibility/2006">
          <mc:Choice Requires="x14">
            <control shapeId="72721" r:id="rId20" name="Check Box 17">
              <controlPr defaultSize="0" autoFill="0" autoLine="0" autoPict="0">
                <anchor moveWithCells="1">
                  <from>
                    <xdr:col>2</xdr:col>
                    <xdr:colOff>45720</xdr:colOff>
                    <xdr:row>37</xdr:row>
                    <xdr:rowOff>30480</xdr:rowOff>
                  </from>
                  <to>
                    <xdr:col>13</xdr:col>
                    <xdr:colOff>601980</xdr:colOff>
                    <xdr:row>38</xdr:row>
                    <xdr:rowOff>0</xdr:rowOff>
                  </to>
                </anchor>
              </controlPr>
            </control>
          </mc:Choice>
        </mc:AlternateContent>
        <mc:AlternateContent xmlns:mc="http://schemas.openxmlformats.org/markup-compatibility/2006">
          <mc:Choice Requires="x14">
            <control shapeId="72722" r:id="rId21" name="Check Box 18">
              <controlPr defaultSize="0" autoFill="0" autoLine="0" autoPict="0">
                <anchor moveWithCells="1">
                  <from>
                    <xdr:col>2</xdr:col>
                    <xdr:colOff>45720</xdr:colOff>
                    <xdr:row>38</xdr:row>
                    <xdr:rowOff>7620</xdr:rowOff>
                  </from>
                  <to>
                    <xdr:col>11</xdr:col>
                    <xdr:colOff>518160</xdr:colOff>
                    <xdr:row>39</xdr:row>
                    <xdr:rowOff>0</xdr:rowOff>
                  </to>
                </anchor>
              </controlPr>
            </control>
          </mc:Choice>
        </mc:AlternateContent>
        <mc:AlternateContent xmlns:mc="http://schemas.openxmlformats.org/markup-compatibility/2006">
          <mc:Choice Requires="x14">
            <control shapeId="72723" r:id="rId22" name="Check Box 19">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72724" r:id="rId23" name="Check Box 20">
              <controlPr defaultSize="0" autoFill="0" autoLine="0" autoPict="0">
                <anchor moveWithCells="1">
                  <from>
                    <xdr:col>2</xdr:col>
                    <xdr:colOff>99060</xdr:colOff>
                    <xdr:row>32</xdr:row>
                    <xdr:rowOff>0</xdr:rowOff>
                  </from>
                  <to>
                    <xdr:col>2</xdr:col>
                    <xdr:colOff>3108960</xdr:colOff>
                    <xdr:row>33</xdr:row>
                    <xdr:rowOff>7620</xdr:rowOff>
                  </to>
                </anchor>
              </controlPr>
            </control>
          </mc:Choice>
        </mc:AlternateContent>
        <mc:AlternateContent xmlns:mc="http://schemas.openxmlformats.org/markup-compatibility/2006">
          <mc:Choice Requires="x14">
            <control shapeId="72725" r:id="rId24" name="Check Box 21">
              <controlPr defaultSize="0" autoFill="0" autoLine="0" autoPict="0">
                <anchor moveWithCells="1">
                  <from>
                    <xdr:col>2</xdr:col>
                    <xdr:colOff>99060</xdr:colOff>
                    <xdr:row>34</xdr:row>
                    <xdr:rowOff>0</xdr:rowOff>
                  </from>
                  <to>
                    <xdr:col>3</xdr:col>
                    <xdr:colOff>1021080</xdr:colOff>
                    <xdr:row>34</xdr:row>
                    <xdr:rowOff>160020</xdr:rowOff>
                  </to>
                </anchor>
              </controlPr>
            </control>
          </mc:Choice>
        </mc:AlternateContent>
        <mc:AlternateContent xmlns:mc="http://schemas.openxmlformats.org/markup-compatibility/2006">
          <mc:Choice Requires="x14">
            <control shapeId="72726" r:id="rId25" name="Check Box 22">
              <controlPr defaultSize="0" autoFill="0" autoLine="0" autoPict="0">
                <anchor moveWithCells="1">
                  <from>
                    <xdr:col>2</xdr:col>
                    <xdr:colOff>99060</xdr:colOff>
                    <xdr:row>32</xdr:row>
                    <xdr:rowOff>182880</xdr:rowOff>
                  </from>
                  <to>
                    <xdr:col>4</xdr:col>
                    <xdr:colOff>335280</xdr:colOff>
                    <xdr:row>33</xdr:row>
                    <xdr:rowOff>182880</xdr:rowOff>
                  </to>
                </anchor>
              </controlPr>
            </control>
          </mc:Choice>
        </mc:AlternateContent>
        <mc:AlternateContent xmlns:mc="http://schemas.openxmlformats.org/markup-compatibility/2006">
          <mc:Choice Requires="x14">
            <control shapeId="72727" r:id="rId26" name="Check Box 23">
              <controlPr defaultSize="0" autoFill="0" autoLine="0" autoPict="0">
                <anchor moveWithCells="1">
                  <from>
                    <xdr:col>2</xdr:col>
                    <xdr:colOff>45720</xdr:colOff>
                    <xdr:row>38</xdr:row>
                    <xdr:rowOff>7620</xdr:rowOff>
                  </from>
                  <to>
                    <xdr:col>11</xdr:col>
                    <xdr:colOff>518160</xdr:colOff>
                    <xdr:row>39</xdr:row>
                    <xdr:rowOff>0</xdr:rowOff>
                  </to>
                </anchor>
              </controlPr>
            </control>
          </mc:Choice>
        </mc:AlternateContent>
        <mc:AlternateContent xmlns:mc="http://schemas.openxmlformats.org/markup-compatibility/2006">
          <mc:Choice Requires="x14">
            <control shapeId="72728" r:id="rId27" name="Check Box 24">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72729" r:id="rId28" name="Check Box 25">
              <controlPr defaultSize="0" autoFill="0" autoLine="0" autoPict="0">
                <anchor moveWithCells="1">
                  <from>
                    <xdr:col>2</xdr:col>
                    <xdr:colOff>99060</xdr:colOff>
                    <xdr:row>35</xdr:row>
                    <xdr:rowOff>0</xdr:rowOff>
                  </from>
                  <to>
                    <xdr:col>2</xdr:col>
                    <xdr:colOff>3108960</xdr:colOff>
                    <xdr:row>36</xdr:row>
                    <xdr:rowOff>7620</xdr:rowOff>
                  </to>
                </anchor>
              </controlPr>
            </control>
          </mc:Choice>
        </mc:AlternateContent>
        <mc:AlternateContent xmlns:mc="http://schemas.openxmlformats.org/markup-compatibility/2006">
          <mc:Choice Requires="x14">
            <control shapeId="72730" r:id="rId29" name="Check Box 26">
              <controlPr defaultSize="0" autoFill="0" autoLine="0" autoPict="0">
                <anchor moveWithCells="1">
                  <from>
                    <xdr:col>2</xdr:col>
                    <xdr:colOff>99060</xdr:colOff>
                    <xdr:row>37</xdr:row>
                    <xdr:rowOff>0</xdr:rowOff>
                  </from>
                  <to>
                    <xdr:col>3</xdr:col>
                    <xdr:colOff>1021080</xdr:colOff>
                    <xdr:row>37</xdr:row>
                    <xdr:rowOff>160020</xdr:rowOff>
                  </to>
                </anchor>
              </controlPr>
            </control>
          </mc:Choice>
        </mc:AlternateContent>
        <mc:AlternateContent xmlns:mc="http://schemas.openxmlformats.org/markup-compatibility/2006">
          <mc:Choice Requires="x14">
            <control shapeId="72731" r:id="rId30" name="Check Box 27">
              <controlPr defaultSize="0" autoFill="0" autoLine="0" autoPict="0">
                <anchor moveWithCells="1">
                  <from>
                    <xdr:col>2</xdr:col>
                    <xdr:colOff>99060</xdr:colOff>
                    <xdr:row>35</xdr:row>
                    <xdr:rowOff>182880</xdr:rowOff>
                  </from>
                  <to>
                    <xdr:col>4</xdr:col>
                    <xdr:colOff>335280</xdr:colOff>
                    <xdr:row>37</xdr:row>
                    <xdr:rowOff>22860</xdr:rowOff>
                  </to>
                </anchor>
              </controlPr>
            </control>
          </mc:Choice>
        </mc:AlternateContent>
        <mc:AlternateContent xmlns:mc="http://schemas.openxmlformats.org/markup-compatibility/2006">
          <mc:Choice Requires="x14">
            <control shapeId="72732" r:id="rId31" name="Check Box 28">
              <controlPr defaultSize="0" autoFill="0" autoLine="0" autoPict="0">
                <anchor moveWithCells="1">
                  <from>
                    <xdr:col>2</xdr:col>
                    <xdr:colOff>38100</xdr:colOff>
                    <xdr:row>39</xdr:row>
                    <xdr:rowOff>30480</xdr:rowOff>
                  </from>
                  <to>
                    <xdr:col>13</xdr:col>
                    <xdr:colOff>220980</xdr:colOff>
                    <xdr:row>39</xdr:row>
                    <xdr:rowOff>160020</xdr:rowOff>
                  </to>
                </anchor>
              </controlPr>
            </control>
          </mc:Choice>
        </mc:AlternateContent>
        <mc:AlternateContent xmlns:mc="http://schemas.openxmlformats.org/markup-compatibility/2006">
          <mc:Choice Requires="x14">
            <control shapeId="72733" r:id="rId32" name="Check Box 29">
              <controlPr defaultSize="0" autoFill="0" autoLine="0" autoPict="0">
                <anchor moveWithCells="1">
                  <from>
                    <xdr:col>2</xdr:col>
                    <xdr:colOff>45720</xdr:colOff>
                    <xdr:row>40</xdr:row>
                    <xdr:rowOff>30480</xdr:rowOff>
                  </from>
                  <to>
                    <xdr:col>13</xdr:col>
                    <xdr:colOff>594360</xdr:colOff>
                    <xdr:row>41</xdr:row>
                    <xdr:rowOff>0</xdr:rowOff>
                  </to>
                </anchor>
              </controlPr>
            </control>
          </mc:Choice>
        </mc:AlternateContent>
        <mc:AlternateContent xmlns:mc="http://schemas.openxmlformats.org/markup-compatibility/2006">
          <mc:Choice Requires="x14">
            <control shapeId="72734" r:id="rId33" name="Check Box 30">
              <controlPr defaultSize="0" autoFill="0" autoLine="0" autoPict="0">
                <anchor moveWithCells="1">
                  <from>
                    <xdr:col>2</xdr:col>
                    <xdr:colOff>45720</xdr:colOff>
                    <xdr:row>41</xdr:row>
                    <xdr:rowOff>7620</xdr:rowOff>
                  </from>
                  <to>
                    <xdr:col>11</xdr:col>
                    <xdr:colOff>525780</xdr:colOff>
                    <xdr:row>41</xdr:row>
                    <xdr:rowOff>190500</xdr:rowOff>
                  </to>
                </anchor>
              </controlPr>
            </control>
          </mc:Choice>
        </mc:AlternateContent>
        <mc:AlternateContent xmlns:mc="http://schemas.openxmlformats.org/markup-compatibility/2006">
          <mc:Choice Requires="x14">
            <control shapeId="72735" r:id="rId34" name="Check Box 31">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72736" r:id="rId35" name="Check Box 32">
              <controlPr defaultSize="0" autoFill="0" autoLine="0" autoPict="0">
                <anchor moveWithCells="1">
                  <from>
                    <xdr:col>2</xdr:col>
                    <xdr:colOff>99060</xdr:colOff>
                    <xdr:row>35</xdr:row>
                    <xdr:rowOff>0</xdr:rowOff>
                  </from>
                  <to>
                    <xdr:col>2</xdr:col>
                    <xdr:colOff>3108960</xdr:colOff>
                    <xdr:row>36</xdr:row>
                    <xdr:rowOff>7620</xdr:rowOff>
                  </to>
                </anchor>
              </controlPr>
            </control>
          </mc:Choice>
        </mc:AlternateContent>
        <mc:AlternateContent xmlns:mc="http://schemas.openxmlformats.org/markup-compatibility/2006">
          <mc:Choice Requires="x14">
            <control shapeId="72737" r:id="rId36" name="Check Box 33">
              <controlPr defaultSize="0" autoFill="0" autoLine="0" autoPict="0">
                <anchor moveWithCells="1">
                  <from>
                    <xdr:col>2</xdr:col>
                    <xdr:colOff>99060</xdr:colOff>
                    <xdr:row>37</xdr:row>
                    <xdr:rowOff>0</xdr:rowOff>
                  </from>
                  <to>
                    <xdr:col>3</xdr:col>
                    <xdr:colOff>1021080</xdr:colOff>
                    <xdr:row>37</xdr:row>
                    <xdr:rowOff>160020</xdr:rowOff>
                  </to>
                </anchor>
              </controlPr>
            </control>
          </mc:Choice>
        </mc:AlternateContent>
        <mc:AlternateContent xmlns:mc="http://schemas.openxmlformats.org/markup-compatibility/2006">
          <mc:Choice Requires="x14">
            <control shapeId="72738" r:id="rId37" name="Check Box 34">
              <controlPr defaultSize="0" autoFill="0" autoLine="0" autoPict="0">
                <anchor moveWithCells="1">
                  <from>
                    <xdr:col>2</xdr:col>
                    <xdr:colOff>99060</xdr:colOff>
                    <xdr:row>35</xdr:row>
                    <xdr:rowOff>182880</xdr:rowOff>
                  </from>
                  <to>
                    <xdr:col>4</xdr:col>
                    <xdr:colOff>335280</xdr:colOff>
                    <xdr:row>37</xdr:row>
                    <xdr:rowOff>22860</xdr:rowOff>
                  </to>
                </anchor>
              </controlPr>
            </control>
          </mc:Choice>
        </mc:AlternateContent>
        <mc:AlternateContent xmlns:mc="http://schemas.openxmlformats.org/markup-compatibility/2006">
          <mc:Choice Requires="x14">
            <control shapeId="72739" r:id="rId38" name="Check Box 35">
              <controlPr defaultSize="0" autoFill="0" autoLine="0" autoPict="0">
                <anchor moveWithCells="1">
                  <from>
                    <xdr:col>2</xdr:col>
                    <xdr:colOff>45720</xdr:colOff>
                    <xdr:row>41</xdr:row>
                    <xdr:rowOff>7620</xdr:rowOff>
                  </from>
                  <to>
                    <xdr:col>11</xdr:col>
                    <xdr:colOff>525780</xdr:colOff>
                    <xdr:row>41</xdr:row>
                    <xdr:rowOff>190500</xdr:rowOff>
                  </to>
                </anchor>
              </controlPr>
            </control>
          </mc:Choice>
        </mc:AlternateContent>
        <mc:AlternateContent xmlns:mc="http://schemas.openxmlformats.org/markup-compatibility/2006">
          <mc:Choice Requires="x14">
            <control shapeId="72740" r:id="rId39" name="Check Box 36">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72741" r:id="rId40" name="Check Box 37">
              <controlPr defaultSize="0" autoFill="0" autoLine="0" autoPict="0">
                <anchor moveWithCells="1">
                  <from>
                    <xdr:col>2</xdr:col>
                    <xdr:colOff>99060</xdr:colOff>
                    <xdr:row>35</xdr:row>
                    <xdr:rowOff>0</xdr:rowOff>
                  </from>
                  <to>
                    <xdr:col>2</xdr:col>
                    <xdr:colOff>3108960</xdr:colOff>
                    <xdr:row>36</xdr:row>
                    <xdr:rowOff>7620</xdr:rowOff>
                  </to>
                </anchor>
              </controlPr>
            </control>
          </mc:Choice>
        </mc:AlternateContent>
        <mc:AlternateContent xmlns:mc="http://schemas.openxmlformats.org/markup-compatibility/2006">
          <mc:Choice Requires="x14">
            <control shapeId="72742" r:id="rId41" name="Check Box 38">
              <controlPr defaultSize="0" autoFill="0" autoLine="0" autoPict="0">
                <anchor moveWithCells="1">
                  <from>
                    <xdr:col>2</xdr:col>
                    <xdr:colOff>99060</xdr:colOff>
                    <xdr:row>37</xdr:row>
                    <xdr:rowOff>0</xdr:rowOff>
                  </from>
                  <to>
                    <xdr:col>3</xdr:col>
                    <xdr:colOff>1021080</xdr:colOff>
                    <xdr:row>37</xdr:row>
                    <xdr:rowOff>160020</xdr:rowOff>
                  </to>
                </anchor>
              </controlPr>
            </control>
          </mc:Choice>
        </mc:AlternateContent>
        <mc:AlternateContent xmlns:mc="http://schemas.openxmlformats.org/markup-compatibility/2006">
          <mc:Choice Requires="x14">
            <control shapeId="72743" r:id="rId42" name="Check Box 39">
              <controlPr defaultSize="0" autoFill="0" autoLine="0" autoPict="0">
                <anchor moveWithCells="1">
                  <from>
                    <xdr:col>2</xdr:col>
                    <xdr:colOff>99060</xdr:colOff>
                    <xdr:row>35</xdr:row>
                    <xdr:rowOff>182880</xdr:rowOff>
                  </from>
                  <to>
                    <xdr:col>4</xdr:col>
                    <xdr:colOff>335280</xdr:colOff>
                    <xdr:row>37</xdr:row>
                    <xdr:rowOff>22860</xdr:rowOff>
                  </to>
                </anchor>
              </controlPr>
            </control>
          </mc:Choice>
        </mc:AlternateContent>
        <mc:AlternateContent xmlns:mc="http://schemas.openxmlformats.org/markup-compatibility/2006">
          <mc:Choice Requires="x14">
            <control shapeId="72744" r:id="rId43" name="Check Box 40">
              <controlPr defaultSize="0" autoFill="0" autoLine="0" autoPict="0">
                <anchor moveWithCells="1">
                  <from>
                    <xdr:col>2</xdr:col>
                    <xdr:colOff>38100</xdr:colOff>
                    <xdr:row>39</xdr:row>
                    <xdr:rowOff>30480</xdr:rowOff>
                  </from>
                  <to>
                    <xdr:col>13</xdr:col>
                    <xdr:colOff>220980</xdr:colOff>
                    <xdr:row>39</xdr:row>
                    <xdr:rowOff>160020</xdr:rowOff>
                  </to>
                </anchor>
              </controlPr>
            </control>
          </mc:Choice>
        </mc:AlternateContent>
        <mc:AlternateContent xmlns:mc="http://schemas.openxmlformats.org/markup-compatibility/2006">
          <mc:Choice Requires="x14">
            <control shapeId="72745" r:id="rId44" name="Check Box 41">
              <controlPr defaultSize="0" autoFill="0" autoLine="0" autoPict="0">
                <anchor moveWithCells="1">
                  <from>
                    <xdr:col>2</xdr:col>
                    <xdr:colOff>45720</xdr:colOff>
                    <xdr:row>40</xdr:row>
                    <xdr:rowOff>30480</xdr:rowOff>
                  </from>
                  <to>
                    <xdr:col>13</xdr:col>
                    <xdr:colOff>594360</xdr:colOff>
                    <xdr:row>41</xdr:row>
                    <xdr:rowOff>0</xdr:rowOff>
                  </to>
                </anchor>
              </controlPr>
            </control>
          </mc:Choice>
        </mc:AlternateContent>
        <mc:AlternateContent xmlns:mc="http://schemas.openxmlformats.org/markup-compatibility/2006">
          <mc:Choice Requires="x14">
            <control shapeId="72746" r:id="rId45" name="Check Box 42">
              <controlPr defaultSize="0" autoFill="0" autoLine="0" autoPict="0">
                <anchor moveWithCells="1">
                  <from>
                    <xdr:col>2</xdr:col>
                    <xdr:colOff>45720</xdr:colOff>
                    <xdr:row>41</xdr:row>
                    <xdr:rowOff>7620</xdr:rowOff>
                  </from>
                  <to>
                    <xdr:col>11</xdr:col>
                    <xdr:colOff>525780</xdr:colOff>
                    <xdr:row>41</xdr:row>
                    <xdr:rowOff>190500</xdr:rowOff>
                  </to>
                </anchor>
              </controlPr>
            </control>
          </mc:Choice>
        </mc:AlternateContent>
        <mc:AlternateContent xmlns:mc="http://schemas.openxmlformats.org/markup-compatibility/2006">
          <mc:Choice Requires="x14">
            <control shapeId="72747" r:id="rId46" name="Check Box 43">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72748" r:id="rId47" name="Check Box 44">
              <controlPr defaultSize="0" autoFill="0" autoLine="0" autoPict="0">
                <anchor moveWithCells="1">
                  <from>
                    <xdr:col>2</xdr:col>
                    <xdr:colOff>99060</xdr:colOff>
                    <xdr:row>35</xdr:row>
                    <xdr:rowOff>0</xdr:rowOff>
                  </from>
                  <to>
                    <xdr:col>2</xdr:col>
                    <xdr:colOff>3108960</xdr:colOff>
                    <xdr:row>36</xdr:row>
                    <xdr:rowOff>7620</xdr:rowOff>
                  </to>
                </anchor>
              </controlPr>
            </control>
          </mc:Choice>
        </mc:AlternateContent>
        <mc:AlternateContent xmlns:mc="http://schemas.openxmlformats.org/markup-compatibility/2006">
          <mc:Choice Requires="x14">
            <control shapeId="72749" r:id="rId48" name="Check Box 45">
              <controlPr defaultSize="0" autoFill="0" autoLine="0" autoPict="0">
                <anchor moveWithCells="1">
                  <from>
                    <xdr:col>2</xdr:col>
                    <xdr:colOff>99060</xdr:colOff>
                    <xdr:row>37</xdr:row>
                    <xdr:rowOff>0</xdr:rowOff>
                  </from>
                  <to>
                    <xdr:col>3</xdr:col>
                    <xdr:colOff>1021080</xdr:colOff>
                    <xdr:row>37</xdr:row>
                    <xdr:rowOff>160020</xdr:rowOff>
                  </to>
                </anchor>
              </controlPr>
            </control>
          </mc:Choice>
        </mc:AlternateContent>
        <mc:AlternateContent xmlns:mc="http://schemas.openxmlformats.org/markup-compatibility/2006">
          <mc:Choice Requires="x14">
            <control shapeId="72750" r:id="rId49" name="Check Box 46">
              <controlPr defaultSize="0" autoFill="0" autoLine="0" autoPict="0">
                <anchor moveWithCells="1">
                  <from>
                    <xdr:col>2</xdr:col>
                    <xdr:colOff>99060</xdr:colOff>
                    <xdr:row>35</xdr:row>
                    <xdr:rowOff>182880</xdr:rowOff>
                  </from>
                  <to>
                    <xdr:col>4</xdr:col>
                    <xdr:colOff>335280</xdr:colOff>
                    <xdr:row>37</xdr:row>
                    <xdr:rowOff>22860</xdr:rowOff>
                  </to>
                </anchor>
              </controlPr>
            </control>
          </mc:Choice>
        </mc:AlternateContent>
        <mc:AlternateContent xmlns:mc="http://schemas.openxmlformats.org/markup-compatibility/2006">
          <mc:Choice Requires="x14">
            <control shapeId="72751" r:id="rId50" name="Check Box 47">
              <controlPr defaultSize="0" autoFill="0" autoLine="0" autoPict="0">
                <anchor moveWithCells="1">
                  <from>
                    <xdr:col>2</xdr:col>
                    <xdr:colOff>45720</xdr:colOff>
                    <xdr:row>41</xdr:row>
                    <xdr:rowOff>7620</xdr:rowOff>
                  </from>
                  <to>
                    <xdr:col>11</xdr:col>
                    <xdr:colOff>525780</xdr:colOff>
                    <xdr:row>41</xdr:row>
                    <xdr:rowOff>190500</xdr:rowOff>
                  </to>
                </anchor>
              </controlPr>
            </control>
          </mc:Choice>
        </mc:AlternateContent>
        <mc:AlternateContent xmlns:mc="http://schemas.openxmlformats.org/markup-compatibility/2006">
          <mc:Choice Requires="x14">
            <control shapeId="72752" r:id="rId51" name="Check Box 48">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topLeftCell="A7" workbookViewId="0">
      <selection activeCell="G9" sqref="G9"/>
    </sheetView>
  </sheetViews>
  <sheetFormatPr defaultColWidth="9.109375" defaultRowHeight="15.6"/>
  <cols>
    <col min="1" max="1" width="9.109375" style="71"/>
    <col min="2" max="2" width="13.5546875" style="71" customWidth="1"/>
    <col min="3" max="3" width="11.44140625" style="71" customWidth="1"/>
    <col min="4" max="4" width="15.88671875" style="71" customWidth="1"/>
    <col min="5" max="5" width="23.33203125" style="71" customWidth="1"/>
    <col min="6" max="6" width="9" style="71" customWidth="1"/>
    <col min="7" max="7" width="8.5546875" style="71" customWidth="1"/>
    <col min="8" max="8" width="10.6640625" style="71" customWidth="1"/>
    <col min="9" max="9" width="25" style="71" customWidth="1"/>
    <col min="10" max="10" width="150" style="71" customWidth="1"/>
    <col min="11" max="11" width="16.44140625" style="71" customWidth="1"/>
    <col min="12" max="12" width="34.6640625" style="71" customWidth="1"/>
    <col min="13" max="15" width="20.109375" style="71" customWidth="1"/>
    <col min="16" max="16" width="26.109375" style="71" customWidth="1"/>
    <col min="17" max="17" width="18.109375" style="71" customWidth="1"/>
    <col min="18" max="18" width="15.33203125" style="71" customWidth="1"/>
    <col min="19" max="19" width="15.6640625" style="71" customWidth="1"/>
    <col min="20" max="20" width="10.6640625" style="71" customWidth="1"/>
    <col min="21" max="21" width="11.44140625" style="71" customWidth="1"/>
    <col min="22" max="22" width="9.109375" style="71"/>
    <col min="23" max="23" width="14.88671875" style="71" hidden="1" customWidth="1"/>
    <col min="24" max="16384" width="9.109375" style="71"/>
  </cols>
  <sheetData>
    <row r="1" spans="1:16">
      <c r="A1" s="2" t="s">
        <v>176</v>
      </c>
    </row>
    <row r="2" spans="1:16" ht="18">
      <c r="A2" s="118"/>
    </row>
    <row r="3" spans="1:16">
      <c r="A3" s="2" t="s">
        <v>268</v>
      </c>
    </row>
    <row r="5" spans="1:16">
      <c r="B5" s="119" t="s">
        <v>725</v>
      </c>
      <c r="E5" s="811" t="s">
        <v>640</v>
      </c>
      <c r="F5" s="811"/>
      <c r="G5" s="811"/>
      <c r="H5" s="811"/>
      <c r="I5" s="811"/>
    </row>
    <row r="7" spans="1:16" ht="42" customHeight="1">
      <c r="B7" s="779" t="s">
        <v>5</v>
      </c>
      <c r="C7" s="779"/>
      <c r="D7" s="775" t="s">
        <v>124</v>
      </c>
      <c r="E7" s="775"/>
      <c r="F7" s="780" t="s">
        <v>123</v>
      </c>
      <c r="G7" s="781"/>
      <c r="H7" s="782"/>
      <c r="I7" s="773" t="s">
        <v>175</v>
      </c>
      <c r="J7" s="773" t="s">
        <v>174</v>
      </c>
      <c r="K7" s="773" t="s">
        <v>180</v>
      </c>
      <c r="L7" s="773" t="s">
        <v>181</v>
      </c>
      <c r="M7" s="775" t="s">
        <v>122</v>
      </c>
      <c r="N7" s="773" t="s">
        <v>121</v>
      </c>
      <c r="O7" s="773" t="s">
        <v>173</v>
      </c>
      <c r="P7" s="775" t="s">
        <v>183</v>
      </c>
    </row>
    <row r="8" spans="1:16" ht="22.5" customHeight="1">
      <c r="B8" s="354" t="s">
        <v>1</v>
      </c>
      <c r="C8" s="354" t="s">
        <v>20</v>
      </c>
      <c r="D8" s="353" t="s">
        <v>120</v>
      </c>
      <c r="E8" s="354" t="s">
        <v>20</v>
      </c>
      <c r="F8" s="354" t="s">
        <v>54</v>
      </c>
      <c r="G8" s="354" t="s">
        <v>72</v>
      </c>
      <c r="H8" s="354" t="s">
        <v>97</v>
      </c>
      <c r="I8" s="774"/>
      <c r="J8" s="774"/>
      <c r="K8" s="774"/>
      <c r="L8" s="774"/>
      <c r="M8" s="775"/>
      <c r="N8" s="774"/>
      <c r="O8" s="774"/>
      <c r="P8" s="775"/>
    </row>
    <row r="9" spans="1:16" ht="313.2">
      <c r="B9" s="355">
        <v>1016</v>
      </c>
      <c r="C9" s="355">
        <v>11004</v>
      </c>
      <c r="D9" s="355" t="s">
        <v>623</v>
      </c>
      <c r="E9" s="355" t="s">
        <v>589</v>
      </c>
      <c r="F9" s="359">
        <v>52800</v>
      </c>
      <c r="G9" s="359">
        <v>28800</v>
      </c>
      <c r="H9" s="359">
        <v>28800</v>
      </c>
      <c r="I9" s="360" t="s">
        <v>624</v>
      </c>
      <c r="J9" s="360" t="s">
        <v>586</v>
      </c>
      <c r="K9" s="355"/>
      <c r="L9" s="360" t="s">
        <v>631</v>
      </c>
      <c r="M9" s="355">
        <v>2027</v>
      </c>
      <c r="N9" s="355" t="s">
        <v>587</v>
      </c>
      <c r="O9" s="355"/>
      <c r="P9" s="355"/>
    </row>
    <row r="10" spans="1:16">
      <c r="B10" s="70" t="s">
        <v>9</v>
      </c>
      <c r="C10" s="70"/>
      <c r="D10" s="70"/>
      <c r="E10" s="70"/>
      <c r="F10" s="359">
        <v>52800</v>
      </c>
      <c r="G10" s="361">
        <v>28800</v>
      </c>
      <c r="H10" s="361">
        <v>28800</v>
      </c>
      <c r="I10" s="70"/>
      <c r="J10" s="70"/>
      <c r="K10" s="151"/>
      <c r="L10" s="151"/>
      <c r="M10" s="151"/>
      <c r="N10" s="151"/>
      <c r="O10" s="151"/>
      <c r="P10" s="70"/>
    </row>
    <row r="11" spans="1:16" hidden="1">
      <c r="B11" s="776" t="s">
        <v>9</v>
      </c>
      <c r="C11" s="777"/>
      <c r="D11" s="777"/>
      <c r="E11" s="778"/>
      <c r="F11" s="147">
        <f>SUM(F9:F10)</f>
        <v>105600</v>
      </c>
      <c r="G11" s="147">
        <f>SUM(G9:G10)</f>
        <v>57600</v>
      </c>
      <c r="H11" s="147">
        <f>SUM(H9:H10)</f>
        <v>57600</v>
      </c>
      <c r="I11" s="117" t="s">
        <v>39</v>
      </c>
      <c r="J11" s="117" t="s">
        <v>39</v>
      </c>
      <c r="K11" s="117" t="s">
        <v>39</v>
      </c>
      <c r="L11" s="117" t="s">
        <v>39</v>
      </c>
      <c r="M11" s="117"/>
      <c r="N11" s="117"/>
      <c r="O11" s="117"/>
      <c r="P11" s="117" t="s">
        <v>39</v>
      </c>
    </row>
    <row r="13" spans="1:16" ht="26.25" customHeight="1"/>
    <row r="14" spans="1:16" ht="15.6" hidden="1" customHeight="1"/>
    <row r="20" spans="2:2">
      <c r="B20" s="71" t="s">
        <v>588</v>
      </c>
    </row>
  </sheetData>
  <mergeCells count="13">
    <mergeCell ref="O7:O8"/>
    <mergeCell ref="P7:P8"/>
    <mergeCell ref="B7:C7"/>
    <mergeCell ref="D7:E7"/>
    <mergeCell ref="F7:H7"/>
    <mergeCell ref="I7:I8"/>
    <mergeCell ref="J7:J8"/>
    <mergeCell ref="K7:K8"/>
    <mergeCell ref="E5:I5"/>
    <mergeCell ref="B11:E11"/>
    <mergeCell ref="L7:L8"/>
    <mergeCell ref="M7:M8"/>
    <mergeCell ref="N7:N8"/>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102"/>
  <sheetViews>
    <sheetView topLeftCell="A67" workbookViewId="0">
      <selection activeCell="B92" sqref="B92"/>
    </sheetView>
  </sheetViews>
  <sheetFormatPr defaultRowHeight="15"/>
  <cols>
    <col min="2" max="2" width="62.44140625" style="146" customWidth="1"/>
    <col min="3" max="3" width="56.33203125" customWidth="1"/>
    <col min="4" max="6" width="18.88671875" customWidth="1"/>
    <col min="7" max="7" width="28.33203125" customWidth="1"/>
    <col min="8" max="8" width="4" hidden="1" customWidth="1"/>
    <col min="9" max="10" width="7.88671875" hidden="1" customWidth="1"/>
    <col min="13" max="13" width="9.88671875" bestFit="1" customWidth="1"/>
  </cols>
  <sheetData>
    <row r="1" spans="1:10" ht="18.600000000000001">
      <c r="A1" s="2" t="s">
        <v>739</v>
      </c>
      <c r="B1"/>
      <c r="C1" s="474"/>
      <c r="D1" s="474"/>
      <c r="E1" s="17"/>
      <c r="F1" s="17"/>
      <c r="H1" s="17" t="s">
        <v>125</v>
      </c>
      <c r="I1" s="17" t="s">
        <v>126</v>
      </c>
      <c r="J1" t="s">
        <v>127</v>
      </c>
    </row>
    <row r="2" spans="1:10" ht="52.8">
      <c r="A2" s="122"/>
      <c r="B2" s="475" t="s">
        <v>740</v>
      </c>
      <c r="C2" s="474"/>
      <c r="D2" s="474"/>
      <c r="E2" s="17"/>
      <c r="F2" s="17"/>
      <c r="H2" s="17" t="s">
        <v>128</v>
      </c>
      <c r="I2" t="s">
        <v>129</v>
      </c>
      <c r="J2" s="124" t="s">
        <v>130</v>
      </c>
    </row>
    <row r="3" spans="1:10" ht="18">
      <c r="A3" s="119" t="s">
        <v>131</v>
      </c>
      <c r="B3" s="118"/>
      <c r="C3" s="474"/>
      <c r="D3" s="474"/>
      <c r="E3" s="17"/>
      <c r="F3" s="17"/>
      <c r="H3" s="17" t="s">
        <v>132</v>
      </c>
      <c r="I3" t="s">
        <v>133</v>
      </c>
      <c r="J3" s="124" t="s">
        <v>134</v>
      </c>
    </row>
    <row r="4" spans="1:10" ht="18">
      <c r="A4" s="122"/>
      <c r="B4" s="118"/>
      <c r="C4" s="474"/>
      <c r="D4" s="474"/>
      <c r="E4" s="17"/>
      <c r="F4" s="17"/>
      <c r="H4" s="17" t="s">
        <v>135</v>
      </c>
      <c r="J4" s="124" t="s">
        <v>136</v>
      </c>
    </row>
    <row r="5" spans="1:10" ht="32.25" customHeight="1">
      <c r="A5" s="122"/>
      <c r="B5" s="125" t="s">
        <v>741</v>
      </c>
      <c r="C5" s="476" t="s">
        <v>742</v>
      </c>
      <c r="D5" s="474"/>
      <c r="E5" s="17"/>
      <c r="F5" s="17"/>
      <c r="G5" s="17"/>
    </row>
    <row r="6" spans="1:10" ht="118.5" customHeight="1">
      <c r="A6" s="122"/>
      <c r="B6" s="125" t="s">
        <v>743</v>
      </c>
      <c r="C6" s="476" t="s">
        <v>744</v>
      </c>
      <c r="D6" s="474"/>
      <c r="E6" s="17"/>
      <c r="F6" s="17"/>
      <c r="G6" s="17"/>
    </row>
    <row r="7" spans="1:10" ht="18">
      <c r="A7" s="122"/>
      <c r="B7" s="118"/>
      <c r="C7" s="474"/>
      <c r="D7" s="474"/>
      <c r="E7" s="17"/>
      <c r="F7" s="17"/>
      <c r="G7" s="17"/>
    </row>
    <row r="8" spans="1:10" ht="18">
      <c r="A8" s="119" t="s">
        <v>137</v>
      </c>
      <c r="B8" s="118"/>
      <c r="C8" s="474"/>
      <c r="D8" s="474"/>
      <c r="E8" s="17"/>
      <c r="F8" s="17"/>
      <c r="G8" s="17"/>
    </row>
    <row r="9" spans="1:10" ht="18">
      <c r="A9" s="119"/>
      <c r="B9" s="118"/>
      <c r="C9" s="474"/>
      <c r="D9" s="474"/>
      <c r="E9" s="17"/>
      <c r="F9" s="17"/>
      <c r="G9" s="17"/>
    </row>
    <row r="10" spans="1:10" ht="26.4">
      <c r="A10" s="119"/>
      <c r="B10" s="125" t="s">
        <v>745</v>
      </c>
      <c r="C10" s="476" t="s">
        <v>623</v>
      </c>
      <c r="G10" s="17"/>
    </row>
    <row r="11" spans="1:10" ht="18">
      <c r="A11" s="119"/>
      <c r="B11" s="125" t="s">
        <v>746</v>
      </c>
      <c r="C11" s="126">
        <v>1016</v>
      </c>
      <c r="G11" s="17"/>
    </row>
    <row r="12" spans="1:10" ht="39.6">
      <c r="A12" s="119"/>
      <c r="B12" s="127"/>
      <c r="C12" s="477" t="s">
        <v>747</v>
      </c>
      <c r="D12" s="474"/>
      <c r="E12" s="17"/>
      <c r="F12" s="17"/>
      <c r="G12" s="17"/>
    </row>
    <row r="13" spans="1:10" ht="18">
      <c r="A13" s="119"/>
      <c r="B13" s="125" t="s">
        <v>138</v>
      </c>
      <c r="C13" s="476">
        <v>2027</v>
      </c>
      <c r="D13" s="474"/>
      <c r="E13" s="17"/>
      <c r="F13" s="17"/>
      <c r="G13" s="17"/>
    </row>
    <row r="14" spans="1:10" ht="18">
      <c r="A14" s="119"/>
      <c r="B14" s="125" t="s">
        <v>748</v>
      </c>
      <c r="C14" s="475" t="s">
        <v>587</v>
      </c>
      <c r="D14" s="474"/>
      <c r="E14" s="17"/>
      <c r="F14" s="17"/>
      <c r="G14" s="17"/>
    </row>
    <row r="15" spans="1:10" ht="18">
      <c r="A15" s="119"/>
      <c r="B15" s="118"/>
      <c r="C15" s="115"/>
      <c r="D15" s="474"/>
      <c r="E15" s="17"/>
      <c r="F15" s="17"/>
      <c r="G15" s="17"/>
    </row>
    <row r="16" spans="1:10" ht="18">
      <c r="A16" s="119" t="s">
        <v>139</v>
      </c>
      <c r="B16" s="118"/>
      <c r="C16" s="115"/>
      <c r="D16" s="474"/>
      <c r="E16" s="17"/>
      <c r="F16" s="17"/>
      <c r="G16" s="17"/>
    </row>
    <row r="17" spans="1:10" ht="52.8">
      <c r="B17" s="125" t="s">
        <v>749</v>
      </c>
      <c r="C17" s="476" t="s">
        <v>589</v>
      </c>
      <c r="D17" s="474"/>
      <c r="E17" s="17"/>
      <c r="F17" s="17"/>
      <c r="G17" s="17"/>
    </row>
    <row r="18" spans="1:10" ht="18">
      <c r="A18" s="119"/>
      <c r="B18" s="125" t="s">
        <v>750</v>
      </c>
      <c r="C18" s="475">
        <v>11004</v>
      </c>
      <c r="D18" s="474"/>
      <c r="E18" s="17"/>
      <c r="F18" s="17"/>
      <c r="G18" s="17"/>
    </row>
    <row r="19" spans="1:10" ht="18">
      <c r="A19" s="119"/>
      <c r="B19" s="474"/>
      <c r="C19" s="474"/>
      <c r="D19" s="474"/>
      <c r="E19" s="17"/>
      <c r="F19" s="17"/>
      <c r="G19" s="17"/>
    </row>
    <row r="20" spans="1:10" ht="26.25" customHeight="1">
      <c r="A20" s="119"/>
      <c r="B20" s="125" t="s">
        <v>751</v>
      </c>
      <c r="C20" s="129" t="s">
        <v>135</v>
      </c>
      <c r="F20" s="17"/>
      <c r="G20" s="17"/>
    </row>
    <row r="21" spans="1:10" ht="18">
      <c r="A21" s="119"/>
      <c r="B21"/>
      <c r="C21" s="130"/>
      <c r="F21" s="17"/>
      <c r="G21" s="17"/>
    </row>
    <row r="22" spans="1:10" ht="18">
      <c r="A22" s="119"/>
      <c r="B22" s="118"/>
      <c r="C22" s="115"/>
      <c r="D22" s="474"/>
      <c r="E22" s="17"/>
      <c r="F22" s="17"/>
      <c r="G22" s="17"/>
    </row>
    <row r="23" spans="1:10" ht="18">
      <c r="A23" s="119"/>
      <c r="B23" s="125" t="s">
        <v>752</v>
      </c>
      <c r="C23" s="129" t="s">
        <v>129</v>
      </c>
      <c r="F23" s="17"/>
      <c r="G23" s="17"/>
    </row>
    <row r="24" spans="1:10" ht="18">
      <c r="A24" s="119"/>
      <c r="B24"/>
      <c r="C24" s="130"/>
      <c r="D24" s="474"/>
      <c r="E24" s="17"/>
      <c r="F24" s="17"/>
      <c r="G24" s="17"/>
    </row>
    <row r="25" spans="1:10" ht="18">
      <c r="A25" s="119"/>
      <c r="B25" s="118"/>
      <c r="C25" s="115"/>
      <c r="D25" s="474"/>
      <c r="E25" s="17"/>
      <c r="F25" s="17"/>
      <c r="G25" s="17"/>
    </row>
    <row r="26" spans="1:10" ht="15.75" customHeight="1">
      <c r="A26" s="119" t="s">
        <v>140</v>
      </c>
      <c r="B26"/>
      <c r="C26" s="118"/>
      <c r="D26" s="118"/>
      <c r="E26" s="118"/>
      <c r="F26" s="118"/>
      <c r="G26" s="118"/>
      <c r="H26" s="118"/>
      <c r="I26" s="118"/>
      <c r="J26" s="118"/>
    </row>
    <row r="27" spans="1:10" ht="18">
      <c r="B27" s="118"/>
      <c r="C27" s="118"/>
      <c r="D27" s="118"/>
      <c r="E27" s="118"/>
      <c r="F27" s="118"/>
      <c r="G27" s="118"/>
      <c r="H27" s="118"/>
      <c r="I27" s="118"/>
      <c r="J27" s="118"/>
    </row>
    <row r="28" spans="1:10" ht="93">
      <c r="B28" s="131" t="s">
        <v>753</v>
      </c>
      <c r="C28" s="131" t="s">
        <v>754</v>
      </c>
      <c r="D28" s="131" t="s">
        <v>755</v>
      </c>
      <c r="E28" s="131" t="s">
        <v>756</v>
      </c>
      <c r="F28" s="118"/>
      <c r="G28" s="118"/>
      <c r="H28" s="118"/>
      <c r="I28" s="118"/>
      <c r="J28" s="118"/>
    </row>
    <row r="29" spans="1:10" ht="294.75" customHeight="1">
      <c r="B29" s="132" t="s">
        <v>130</v>
      </c>
      <c r="C29" s="478" t="s">
        <v>757</v>
      </c>
      <c r="D29" s="372" t="s">
        <v>758</v>
      </c>
      <c r="E29" s="372" t="s">
        <v>759</v>
      </c>
      <c r="F29" s="71"/>
      <c r="G29" s="118"/>
      <c r="H29" s="118"/>
      <c r="I29" s="118"/>
      <c r="J29" s="71"/>
    </row>
    <row r="30" spans="1:10" ht="15" customHeight="1">
      <c r="A30" s="119"/>
      <c r="B30" s="118"/>
      <c r="C30" s="115"/>
      <c r="D30" s="474"/>
      <c r="E30" s="17"/>
      <c r="F30" s="17"/>
      <c r="G30" s="17"/>
    </row>
    <row r="31" spans="1:10" s="479" customFormat="1" ht="20.25" customHeight="1">
      <c r="A31" s="119" t="s">
        <v>141</v>
      </c>
    </row>
    <row r="32" spans="1:10" s="479" customFormat="1" ht="15" customHeight="1"/>
    <row r="33" spans="1:5" s="479" customFormat="1" ht="79.2">
      <c r="B33" s="125" t="s">
        <v>760</v>
      </c>
      <c r="C33" s="478" t="s">
        <v>624</v>
      </c>
    </row>
    <row r="34" spans="1:5" s="479" customFormat="1" ht="17.25" customHeight="1">
      <c r="C34" s="480" t="s">
        <v>761</v>
      </c>
    </row>
    <row r="35" spans="1:5" s="479" customFormat="1" ht="16.5" customHeight="1">
      <c r="B35" s="789" t="s">
        <v>762</v>
      </c>
      <c r="C35" s="481" t="s">
        <v>763</v>
      </c>
    </row>
    <row r="36" spans="1:5" s="479" customFormat="1" ht="15" customHeight="1">
      <c r="B36" s="790"/>
    </row>
    <row r="37" spans="1:5" s="479" customFormat="1" ht="15" customHeight="1">
      <c r="B37" s="790"/>
    </row>
    <row r="38" spans="1:5" s="479" customFormat="1" ht="20.399999999999999">
      <c r="B38" s="791"/>
      <c r="C38" s="482"/>
    </row>
    <row r="39" spans="1:5" s="479" customFormat="1" ht="15" customHeight="1"/>
    <row r="40" spans="1:5" s="479" customFormat="1" ht="13.5" customHeight="1">
      <c r="B40" s="789" t="s">
        <v>764</v>
      </c>
    </row>
    <row r="41" spans="1:5" s="479" customFormat="1">
      <c r="B41" s="790"/>
    </row>
    <row r="42" spans="1:5" s="479" customFormat="1">
      <c r="B42" s="791"/>
    </row>
    <row r="43" spans="1:5" s="479" customFormat="1"/>
    <row r="44" spans="1:5" s="479" customFormat="1"/>
    <row r="45" spans="1:5" s="479" customFormat="1" ht="15" customHeight="1">
      <c r="A45" s="119" t="s">
        <v>765</v>
      </c>
    </row>
    <row r="46" spans="1:5" s="479" customFormat="1"/>
    <row r="47" spans="1:5" s="479" customFormat="1" ht="409.5" customHeight="1">
      <c r="B47" s="812" t="s">
        <v>586</v>
      </c>
      <c r="C47" s="813"/>
      <c r="D47" s="813"/>
      <c r="E47" s="814"/>
    </row>
    <row r="48" spans="1:5" s="479" customFormat="1" ht="15" customHeight="1"/>
    <row r="49" spans="1:7" s="479" customFormat="1" ht="15" customHeight="1">
      <c r="A49" s="119" t="s">
        <v>766</v>
      </c>
    </row>
    <row r="50" spans="1:7" s="479" customFormat="1" ht="15" customHeight="1"/>
    <row r="51" spans="1:7" s="479" customFormat="1" ht="71.25" customHeight="1">
      <c r="B51" s="812" t="s">
        <v>631</v>
      </c>
      <c r="C51" s="813"/>
      <c r="D51" s="813"/>
      <c r="E51" s="814"/>
    </row>
    <row r="52" spans="1:7" s="479" customFormat="1" ht="15" customHeight="1"/>
    <row r="53" spans="1:7" s="479" customFormat="1" ht="16.2">
      <c r="A53" s="119" t="s">
        <v>767</v>
      </c>
    </row>
    <row r="54" spans="1:7" s="479" customFormat="1" ht="15" customHeight="1"/>
    <row r="55" spans="1:7" s="479" customFormat="1" ht="70.5" customHeight="1">
      <c r="B55" s="812" t="s">
        <v>768</v>
      </c>
      <c r="C55" s="813"/>
      <c r="D55" s="813"/>
      <c r="E55" s="814"/>
    </row>
    <row r="56" spans="1:7" s="479" customFormat="1"/>
    <row r="57" spans="1:7" s="479" customFormat="1">
      <c r="A57" s="119" t="s">
        <v>142</v>
      </c>
    </row>
    <row r="58" spans="1:7" s="479" customFormat="1"/>
    <row r="59" spans="1:7" s="479" customFormat="1">
      <c r="B59" s="786" t="s">
        <v>769</v>
      </c>
      <c r="C59" s="786" t="s">
        <v>143</v>
      </c>
      <c r="D59" s="786" t="s">
        <v>54</v>
      </c>
      <c r="E59" s="786" t="s">
        <v>72</v>
      </c>
      <c r="F59" s="786" t="s">
        <v>97</v>
      </c>
      <c r="G59" s="470" t="s">
        <v>770</v>
      </c>
    </row>
    <row r="60" spans="1:7" s="479" customFormat="1" ht="22.5" customHeight="1">
      <c r="B60" s="787"/>
      <c r="C60" s="787"/>
      <c r="D60" s="787"/>
      <c r="E60" s="787"/>
      <c r="F60" s="787"/>
      <c r="G60" s="470" t="str">
        <f>C14</f>
        <v>2029 և շարունակական</v>
      </c>
    </row>
    <row r="61" spans="1:7" ht="30">
      <c r="B61" s="135" t="s">
        <v>771</v>
      </c>
      <c r="C61" s="136" t="s">
        <v>772</v>
      </c>
      <c r="D61" s="136">
        <v>7</v>
      </c>
      <c r="E61" s="136">
        <v>7</v>
      </c>
      <c r="F61" s="137">
        <v>7</v>
      </c>
      <c r="G61" s="483"/>
    </row>
    <row r="62" spans="1:7" ht="30">
      <c r="B62" s="484" t="s">
        <v>773</v>
      </c>
      <c r="C62" s="136" t="s">
        <v>772</v>
      </c>
      <c r="D62" s="136">
        <v>100</v>
      </c>
      <c r="E62" s="136">
        <v>100</v>
      </c>
      <c r="F62" s="137">
        <v>100</v>
      </c>
      <c r="G62" s="483"/>
    </row>
    <row r="63" spans="1:7" ht="30">
      <c r="A63" s="480"/>
      <c r="B63" s="485" t="s">
        <v>774</v>
      </c>
      <c r="C63" s="486" t="s">
        <v>775</v>
      </c>
      <c r="D63" s="486">
        <v>25</v>
      </c>
      <c r="E63" s="486">
        <v>35</v>
      </c>
      <c r="F63" s="486">
        <v>45</v>
      </c>
    </row>
    <row r="64" spans="1:7">
      <c r="A64" s="815" t="s">
        <v>144</v>
      </c>
      <c r="B64" s="815"/>
    </row>
    <row r="65" spans="1:16" ht="14.4">
      <c r="B65" s="786" t="s">
        <v>776</v>
      </c>
      <c r="C65" s="786" t="s">
        <v>777</v>
      </c>
      <c r="D65" s="786" t="s">
        <v>54</v>
      </c>
      <c r="E65" s="786" t="s">
        <v>72</v>
      </c>
      <c r="F65" s="786" t="s">
        <v>97</v>
      </c>
      <c r="G65" s="470" t="s">
        <v>146</v>
      </c>
    </row>
    <row r="66" spans="1:16" ht="14.4">
      <c r="B66" s="787"/>
      <c r="C66" s="787"/>
      <c r="D66" s="787"/>
      <c r="E66" s="787"/>
      <c r="F66" s="787"/>
      <c r="G66" s="470" t="str">
        <f>C14</f>
        <v>2029 և շարունակական</v>
      </c>
    </row>
    <row r="67" spans="1:16">
      <c r="B67" s="487" t="s">
        <v>778</v>
      </c>
      <c r="C67" s="470" t="s">
        <v>10</v>
      </c>
      <c r="D67" s="488">
        <v>6000</v>
      </c>
      <c r="E67" s="488">
        <v>5000</v>
      </c>
      <c r="F67" s="488">
        <v>5000</v>
      </c>
      <c r="G67" s="473"/>
    </row>
    <row r="68" spans="1:16">
      <c r="B68" s="487" t="s">
        <v>779</v>
      </c>
      <c r="C68" s="489" t="s">
        <v>10</v>
      </c>
      <c r="D68" s="488">
        <f>250000*12*3/1000</f>
        <v>9000</v>
      </c>
      <c r="E68" s="488">
        <v>6000</v>
      </c>
      <c r="F68" s="488">
        <v>6000</v>
      </c>
      <c r="G68" s="473"/>
    </row>
    <row r="69" spans="1:16">
      <c r="B69" s="487" t="s">
        <v>780</v>
      </c>
      <c r="C69" s="470" t="s">
        <v>10</v>
      </c>
      <c r="D69" s="488">
        <v>35000</v>
      </c>
      <c r="E69" s="488">
        <v>15000</v>
      </c>
      <c r="F69" s="488">
        <v>15000</v>
      </c>
      <c r="G69" s="473"/>
    </row>
    <row r="70" spans="1:16">
      <c r="B70" s="487" t="s">
        <v>781</v>
      </c>
      <c r="C70" s="470" t="s">
        <v>10</v>
      </c>
      <c r="D70" s="490">
        <v>2000</v>
      </c>
      <c r="E70" s="490">
        <v>2000</v>
      </c>
      <c r="F70" s="490">
        <v>2000</v>
      </c>
      <c r="G70" s="473"/>
    </row>
    <row r="71" spans="1:16">
      <c r="B71" s="487" t="s">
        <v>782</v>
      </c>
      <c r="C71" s="489" t="s">
        <v>10</v>
      </c>
      <c r="D71" s="491">
        <v>500</v>
      </c>
      <c r="E71" s="491">
        <v>500</v>
      </c>
      <c r="F71" s="491">
        <v>500</v>
      </c>
      <c r="G71" s="473"/>
    </row>
    <row r="72" spans="1:16">
      <c r="B72" s="487" t="s">
        <v>783</v>
      </c>
      <c r="C72" s="489" t="s">
        <v>10</v>
      </c>
      <c r="D72" s="491">
        <v>300</v>
      </c>
      <c r="E72" s="491">
        <v>300</v>
      </c>
      <c r="F72" s="491">
        <v>300</v>
      </c>
      <c r="G72" s="473"/>
    </row>
    <row r="73" spans="1:16">
      <c r="B73" s="487" t="s">
        <v>784</v>
      </c>
      <c r="C73" s="489"/>
      <c r="D73" s="488">
        <v>1000</v>
      </c>
      <c r="E73" s="488">
        <v>200</v>
      </c>
      <c r="F73" s="488">
        <v>200</v>
      </c>
      <c r="G73" s="473"/>
    </row>
    <row r="74" spans="1:16" ht="14.4">
      <c r="B74" s="142" t="s">
        <v>9</v>
      </c>
      <c r="C74" s="142" t="s">
        <v>10</v>
      </c>
      <c r="D74" s="492">
        <f>SUM(D67:D72)</f>
        <v>52800</v>
      </c>
      <c r="E74" s="492">
        <f>SUM(E67:E72)</f>
        <v>28800</v>
      </c>
      <c r="F74" s="492">
        <f>SUM(F67:F72)</f>
        <v>28800</v>
      </c>
      <c r="G74" s="493">
        <f>SUM(G67:G72)</f>
        <v>0</v>
      </c>
    </row>
    <row r="75" spans="1:16" ht="15" customHeight="1">
      <c r="B75"/>
      <c r="D75" s="454"/>
      <c r="E75" s="454"/>
      <c r="F75" s="454"/>
      <c r="P75" t="s">
        <v>588</v>
      </c>
    </row>
    <row r="76" spans="1:16">
      <c r="A76" s="119" t="s">
        <v>147</v>
      </c>
      <c r="B76"/>
      <c r="D76" s="454"/>
      <c r="E76" s="454"/>
      <c r="F76" s="454"/>
    </row>
    <row r="77" spans="1:16" ht="14.4">
      <c r="B77"/>
      <c r="D77" s="454"/>
      <c r="E77" s="454"/>
      <c r="F77" s="454"/>
    </row>
    <row r="78" spans="1:16" ht="14.4">
      <c r="B78" s="786" t="s">
        <v>785</v>
      </c>
      <c r="C78" s="786" t="s">
        <v>777</v>
      </c>
      <c r="D78" s="816" t="s">
        <v>54</v>
      </c>
      <c r="E78" s="816" t="s">
        <v>72</v>
      </c>
      <c r="F78" s="816" t="s">
        <v>97</v>
      </c>
      <c r="G78" s="470" t="s">
        <v>146</v>
      </c>
    </row>
    <row r="79" spans="1:16" ht="14.4">
      <c r="B79" s="787"/>
      <c r="C79" s="787"/>
      <c r="D79" s="817"/>
      <c r="E79" s="817"/>
      <c r="F79" s="817"/>
      <c r="G79" s="470" t="str">
        <f>C14</f>
        <v>2029 և շարունակական</v>
      </c>
    </row>
    <row r="80" spans="1:16">
      <c r="B80" s="469" t="s">
        <v>148</v>
      </c>
      <c r="C80" s="143" t="s">
        <v>10</v>
      </c>
      <c r="D80" s="492">
        <f>D74</f>
        <v>52800</v>
      </c>
      <c r="E80" s="492">
        <f>E74</f>
        <v>28800</v>
      </c>
      <c r="F80" s="492">
        <f>F74</f>
        <v>28800</v>
      </c>
      <c r="G80" s="493">
        <f>G74</f>
        <v>0</v>
      </c>
    </row>
    <row r="81" spans="1:7">
      <c r="B81" s="144" t="s">
        <v>149</v>
      </c>
      <c r="C81" s="143" t="s">
        <v>10</v>
      </c>
      <c r="D81" s="494">
        <f>D80</f>
        <v>52800</v>
      </c>
      <c r="E81" s="494">
        <f>E80</f>
        <v>28800</v>
      </c>
      <c r="F81" s="494">
        <f>F80</f>
        <v>28800</v>
      </c>
      <c r="G81" s="483"/>
    </row>
    <row r="82" spans="1:7" ht="15" customHeight="1">
      <c r="B82" s="495" t="s">
        <v>150</v>
      </c>
      <c r="C82" s="143" t="s">
        <v>10</v>
      </c>
      <c r="D82" s="494"/>
      <c r="E82" s="494"/>
      <c r="F82" s="496"/>
      <c r="G82" s="483"/>
    </row>
    <row r="83" spans="1:7">
      <c r="B83" s="144" t="s">
        <v>151</v>
      </c>
      <c r="C83" s="143" t="s">
        <v>10</v>
      </c>
      <c r="D83" s="497">
        <f>SUM(D84:D85)</f>
        <v>0</v>
      </c>
      <c r="E83" s="497">
        <f>SUM(E84:E85)</f>
        <v>0</v>
      </c>
      <c r="F83" s="497">
        <f>SUM(F84:F85)</f>
        <v>0</v>
      </c>
      <c r="G83" s="493">
        <f>SUM(G84:G85)</f>
        <v>0</v>
      </c>
    </row>
    <row r="84" spans="1:7">
      <c r="B84" s="136"/>
      <c r="C84" s="143" t="s">
        <v>10</v>
      </c>
      <c r="D84" s="494"/>
      <c r="E84" s="494"/>
      <c r="F84" s="496"/>
      <c r="G84" s="483"/>
    </row>
    <row r="85" spans="1:7">
      <c r="B85" s="136"/>
      <c r="C85" s="143" t="s">
        <v>10</v>
      </c>
      <c r="D85" s="494"/>
      <c r="E85" s="494"/>
      <c r="F85" s="496"/>
      <c r="G85" s="483"/>
    </row>
    <row r="86" spans="1:7" ht="15.75" customHeight="1">
      <c r="B86" s="469" t="s">
        <v>152</v>
      </c>
      <c r="C86" s="143" t="s">
        <v>10</v>
      </c>
      <c r="D86" s="497">
        <f>D80-D83-D82</f>
        <v>52800</v>
      </c>
      <c r="E86" s="497">
        <f>E80-E83-E82</f>
        <v>28800</v>
      </c>
      <c r="F86" s="497">
        <f>F80-F83-F82</f>
        <v>28800</v>
      </c>
      <c r="G86" s="493">
        <f>G80-G83-G82</f>
        <v>0</v>
      </c>
    </row>
    <row r="87" spans="1:7" ht="14.4">
      <c r="B87"/>
    </row>
    <row r="88" spans="1:7" ht="19.5" customHeight="1">
      <c r="A88" s="119" t="s">
        <v>185</v>
      </c>
      <c r="B88"/>
    </row>
    <row r="89" spans="1:7" ht="21" customHeight="1">
      <c r="B89"/>
    </row>
    <row r="90" spans="1:7" ht="16.2" customHeight="1">
      <c r="B90" s="469" t="s">
        <v>786</v>
      </c>
      <c r="C90" s="818" t="s">
        <v>787</v>
      </c>
      <c r="D90" s="819"/>
      <c r="E90" s="820"/>
      <c r="F90" t="s">
        <v>588</v>
      </c>
    </row>
    <row r="91" spans="1:7" ht="14.4">
      <c r="B91"/>
    </row>
    <row r="92" spans="1:7" ht="16.2">
      <c r="A92" s="119" t="s">
        <v>788</v>
      </c>
      <c r="B92" s="154"/>
    </row>
    <row r="93" spans="1:7" ht="14.4">
      <c r="B93"/>
    </row>
    <row r="94" spans="1:7" ht="14.4">
      <c r="B94" s="469" t="s">
        <v>186</v>
      </c>
      <c r="C94" s="783"/>
      <c r="D94" s="784"/>
      <c r="E94" s="785"/>
    </row>
    <row r="95" spans="1:7" ht="14.4">
      <c r="B95" s="469" t="s">
        <v>187</v>
      </c>
      <c r="C95" s="783"/>
      <c r="D95" s="784"/>
      <c r="E95" s="785"/>
    </row>
    <row r="96" spans="1:7" ht="16.2">
      <c r="A96" s="119" t="s">
        <v>789</v>
      </c>
      <c r="B96"/>
    </row>
    <row r="97" spans="1:5" ht="14.4">
      <c r="B97"/>
    </row>
    <row r="98" spans="1:5" ht="14.4" customHeight="1">
      <c r="B98" s="821" t="s">
        <v>790</v>
      </c>
      <c r="C98" s="822"/>
      <c r="D98" s="822"/>
      <c r="E98" s="823"/>
    </row>
    <row r="100" spans="1:5">
      <c r="A100" s="119" t="s">
        <v>791</v>
      </c>
    </row>
    <row r="102" spans="1:5" ht="14.4">
      <c r="B102" s="783"/>
      <c r="C102" s="784"/>
      <c r="D102" s="784"/>
      <c r="E102" s="785"/>
    </row>
  </sheetData>
  <mergeCells count="26">
    <mergeCell ref="F78:F79"/>
    <mergeCell ref="C90:E90"/>
    <mergeCell ref="C94:E94"/>
    <mergeCell ref="C95:E95"/>
    <mergeCell ref="B98:E98"/>
    <mergeCell ref="B102:E102"/>
    <mergeCell ref="A64:B64"/>
    <mergeCell ref="B65:B66"/>
    <mergeCell ref="C65:C66"/>
    <mergeCell ref="D65:D66"/>
    <mergeCell ref="E65:E66"/>
    <mergeCell ref="B78:B79"/>
    <mergeCell ref="C78:C79"/>
    <mergeCell ref="D78:D79"/>
    <mergeCell ref="E78:E79"/>
    <mergeCell ref="F65:F66"/>
    <mergeCell ref="B35:B38"/>
    <mergeCell ref="B40:B42"/>
    <mergeCell ref="B47:E47"/>
    <mergeCell ref="B51:E51"/>
    <mergeCell ref="B55:E55"/>
    <mergeCell ref="B59:B60"/>
    <mergeCell ref="C59:C60"/>
    <mergeCell ref="D59:D60"/>
    <mergeCell ref="E59:E60"/>
    <mergeCell ref="F59:F60"/>
  </mergeCells>
  <dataValidations count="3">
    <dataValidation type="list" allowBlank="1" showInputMessage="1" showErrorMessage="1" sqref="B29">
      <formula1>$J$2:$J$4</formula1>
    </dataValidation>
    <dataValidation type="list" allowBlank="1" showInputMessage="1" showErrorMessage="1" sqref="C20:C21 C24">
      <formula1>$H$2:$H$4</formula1>
    </dataValidation>
    <dataValidation type="list" allowBlank="1" showInputMessage="1" showErrorMessage="1" sqref="C23">
      <formula1>$I$2:$I$3</formula1>
    </dataValidation>
  </dataValidations>
  <hyperlinks>
    <hyperlink ref="C26" location="_ftn1" display="_ftn1"/>
    <hyperlink ref="D26" location="_ftn2" display="_ftn2"/>
    <hyperlink ref="E26" location="_ftn3" display="_ftn3"/>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5649" r:id="rId4" name="Check Box 1">
              <controlPr defaultSize="0" autoFill="0" autoLine="0" autoPict="0">
                <anchor moveWithCells="1">
                  <from>
                    <xdr:col>2</xdr:col>
                    <xdr:colOff>99060</xdr:colOff>
                    <xdr:row>32</xdr:row>
                    <xdr:rowOff>0</xdr:rowOff>
                  </from>
                  <to>
                    <xdr:col>2</xdr:col>
                    <xdr:colOff>3108960</xdr:colOff>
                    <xdr:row>33</xdr:row>
                    <xdr:rowOff>7620</xdr:rowOff>
                  </to>
                </anchor>
              </controlPr>
            </control>
          </mc:Choice>
        </mc:AlternateContent>
        <mc:AlternateContent xmlns:mc="http://schemas.openxmlformats.org/markup-compatibility/2006">
          <mc:Choice Requires="x14">
            <control shapeId="155650" r:id="rId5" name="Check Box 2">
              <controlPr defaultSize="0" autoFill="0" autoLine="0" autoPict="0">
                <anchor moveWithCells="1">
                  <from>
                    <xdr:col>2</xdr:col>
                    <xdr:colOff>99060</xdr:colOff>
                    <xdr:row>34</xdr:row>
                    <xdr:rowOff>0</xdr:rowOff>
                  </from>
                  <to>
                    <xdr:col>3</xdr:col>
                    <xdr:colOff>609600</xdr:colOff>
                    <xdr:row>34</xdr:row>
                    <xdr:rowOff>160020</xdr:rowOff>
                  </to>
                </anchor>
              </controlPr>
            </control>
          </mc:Choice>
        </mc:AlternateContent>
        <mc:AlternateContent xmlns:mc="http://schemas.openxmlformats.org/markup-compatibility/2006">
          <mc:Choice Requires="x14">
            <control shapeId="155651" r:id="rId6" name="Check Box 3">
              <controlPr defaultSize="0" autoFill="0" autoLine="0" autoPict="0">
                <anchor moveWithCells="1">
                  <from>
                    <xdr:col>2</xdr:col>
                    <xdr:colOff>99060</xdr:colOff>
                    <xdr:row>32</xdr:row>
                    <xdr:rowOff>182880</xdr:rowOff>
                  </from>
                  <to>
                    <xdr:col>4</xdr:col>
                    <xdr:colOff>274320</xdr:colOff>
                    <xdr:row>33</xdr:row>
                    <xdr:rowOff>182880</xdr:rowOff>
                  </to>
                </anchor>
              </controlPr>
            </control>
          </mc:Choice>
        </mc:AlternateContent>
        <mc:AlternateContent xmlns:mc="http://schemas.openxmlformats.org/markup-compatibility/2006">
          <mc:Choice Requires="x14">
            <control shapeId="155652" r:id="rId7" name="Check Box 4">
              <controlPr defaultSize="0" autoFill="0" autoLine="0" autoPict="0">
                <anchor moveWithCells="1">
                  <from>
                    <xdr:col>2</xdr:col>
                    <xdr:colOff>38100</xdr:colOff>
                    <xdr:row>36</xdr:row>
                    <xdr:rowOff>30480</xdr:rowOff>
                  </from>
                  <to>
                    <xdr:col>14</xdr:col>
                    <xdr:colOff>99060</xdr:colOff>
                    <xdr:row>36</xdr:row>
                    <xdr:rowOff>160020</xdr:rowOff>
                  </to>
                </anchor>
              </controlPr>
            </control>
          </mc:Choice>
        </mc:AlternateContent>
        <mc:AlternateContent xmlns:mc="http://schemas.openxmlformats.org/markup-compatibility/2006">
          <mc:Choice Requires="x14">
            <control shapeId="155653" r:id="rId8" name="Check Box 5">
              <controlPr defaultSize="0" autoFill="0" autoLine="0" autoPict="0">
                <anchor moveWithCells="1">
                  <from>
                    <xdr:col>2</xdr:col>
                    <xdr:colOff>45720</xdr:colOff>
                    <xdr:row>37</xdr:row>
                    <xdr:rowOff>30480</xdr:rowOff>
                  </from>
                  <to>
                    <xdr:col>14</xdr:col>
                    <xdr:colOff>480060</xdr:colOff>
                    <xdr:row>37</xdr:row>
                    <xdr:rowOff>190500</xdr:rowOff>
                  </to>
                </anchor>
              </controlPr>
            </control>
          </mc:Choice>
        </mc:AlternateContent>
        <mc:AlternateContent xmlns:mc="http://schemas.openxmlformats.org/markup-compatibility/2006">
          <mc:Choice Requires="x14">
            <control shapeId="155654" r:id="rId9" name="Check Box 6">
              <controlPr defaultSize="0" autoFill="0" autoLine="0" autoPict="0">
                <anchor moveWithCells="1">
                  <from>
                    <xdr:col>2</xdr:col>
                    <xdr:colOff>45720</xdr:colOff>
                    <xdr:row>38</xdr:row>
                    <xdr:rowOff>7620</xdr:rowOff>
                  </from>
                  <to>
                    <xdr:col>12</xdr:col>
                    <xdr:colOff>480060</xdr:colOff>
                    <xdr:row>39</xdr:row>
                    <xdr:rowOff>0</xdr:rowOff>
                  </to>
                </anchor>
              </controlPr>
            </control>
          </mc:Choice>
        </mc:AlternateContent>
        <mc:AlternateContent xmlns:mc="http://schemas.openxmlformats.org/markup-compatibility/2006">
          <mc:Choice Requires="x14">
            <control shapeId="155655" r:id="rId10" name="Check Box 7">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155656" r:id="rId11" name="Check Box 8">
              <controlPr defaultSize="0" autoFill="0" autoLine="0" autoPict="0">
                <anchor moveWithCells="1">
                  <from>
                    <xdr:col>2</xdr:col>
                    <xdr:colOff>99060</xdr:colOff>
                    <xdr:row>32</xdr:row>
                    <xdr:rowOff>0</xdr:rowOff>
                  </from>
                  <to>
                    <xdr:col>2</xdr:col>
                    <xdr:colOff>3108960</xdr:colOff>
                    <xdr:row>33</xdr:row>
                    <xdr:rowOff>7620</xdr:rowOff>
                  </to>
                </anchor>
              </controlPr>
            </control>
          </mc:Choice>
        </mc:AlternateContent>
        <mc:AlternateContent xmlns:mc="http://schemas.openxmlformats.org/markup-compatibility/2006">
          <mc:Choice Requires="x14">
            <control shapeId="155657" r:id="rId12" name="Check Box 9">
              <controlPr defaultSize="0" autoFill="0" autoLine="0" autoPict="0">
                <anchor moveWithCells="1">
                  <from>
                    <xdr:col>2</xdr:col>
                    <xdr:colOff>99060</xdr:colOff>
                    <xdr:row>34</xdr:row>
                    <xdr:rowOff>0</xdr:rowOff>
                  </from>
                  <to>
                    <xdr:col>3</xdr:col>
                    <xdr:colOff>609600</xdr:colOff>
                    <xdr:row>34</xdr:row>
                    <xdr:rowOff>160020</xdr:rowOff>
                  </to>
                </anchor>
              </controlPr>
            </control>
          </mc:Choice>
        </mc:AlternateContent>
        <mc:AlternateContent xmlns:mc="http://schemas.openxmlformats.org/markup-compatibility/2006">
          <mc:Choice Requires="x14">
            <control shapeId="155658" r:id="rId13" name="Check Box 10">
              <controlPr defaultSize="0" autoFill="0" autoLine="0" autoPict="0">
                <anchor moveWithCells="1">
                  <from>
                    <xdr:col>2</xdr:col>
                    <xdr:colOff>99060</xdr:colOff>
                    <xdr:row>32</xdr:row>
                    <xdr:rowOff>182880</xdr:rowOff>
                  </from>
                  <to>
                    <xdr:col>4</xdr:col>
                    <xdr:colOff>274320</xdr:colOff>
                    <xdr:row>33</xdr:row>
                    <xdr:rowOff>182880</xdr:rowOff>
                  </to>
                </anchor>
              </controlPr>
            </control>
          </mc:Choice>
        </mc:AlternateContent>
        <mc:AlternateContent xmlns:mc="http://schemas.openxmlformats.org/markup-compatibility/2006">
          <mc:Choice Requires="x14">
            <control shapeId="155659" r:id="rId14" name="Check Box 11">
              <controlPr defaultSize="0" autoFill="0" autoLine="0" autoPict="0">
                <anchor moveWithCells="1">
                  <from>
                    <xdr:col>2</xdr:col>
                    <xdr:colOff>45720</xdr:colOff>
                    <xdr:row>38</xdr:row>
                    <xdr:rowOff>7620</xdr:rowOff>
                  </from>
                  <to>
                    <xdr:col>12</xdr:col>
                    <xdr:colOff>480060</xdr:colOff>
                    <xdr:row>39</xdr:row>
                    <xdr:rowOff>0</xdr:rowOff>
                  </to>
                </anchor>
              </controlPr>
            </control>
          </mc:Choice>
        </mc:AlternateContent>
        <mc:AlternateContent xmlns:mc="http://schemas.openxmlformats.org/markup-compatibility/2006">
          <mc:Choice Requires="x14">
            <control shapeId="155660" r:id="rId15" name="Check Box 12">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155661" r:id="rId16" name="Check Box 13">
              <controlPr defaultSize="0" autoFill="0" autoLine="0" autoPict="0">
                <anchor moveWithCells="1">
                  <from>
                    <xdr:col>2</xdr:col>
                    <xdr:colOff>99060</xdr:colOff>
                    <xdr:row>32</xdr:row>
                    <xdr:rowOff>0</xdr:rowOff>
                  </from>
                  <to>
                    <xdr:col>2</xdr:col>
                    <xdr:colOff>3108960</xdr:colOff>
                    <xdr:row>33</xdr:row>
                    <xdr:rowOff>7620</xdr:rowOff>
                  </to>
                </anchor>
              </controlPr>
            </control>
          </mc:Choice>
        </mc:AlternateContent>
        <mc:AlternateContent xmlns:mc="http://schemas.openxmlformats.org/markup-compatibility/2006">
          <mc:Choice Requires="x14">
            <control shapeId="155662" r:id="rId17" name="Check Box 14">
              <controlPr defaultSize="0" autoFill="0" autoLine="0" autoPict="0">
                <anchor moveWithCells="1">
                  <from>
                    <xdr:col>2</xdr:col>
                    <xdr:colOff>99060</xdr:colOff>
                    <xdr:row>34</xdr:row>
                    <xdr:rowOff>0</xdr:rowOff>
                  </from>
                  <to>
                    <xdr:col>3</xdr:col>
                    <xdr:colOff>609600</xdr:colOff>
                    <xdr:row>34</xdr:row>
                    <xdr:rowOff>160020</xdr:rowOff>
                  </to>
                </anchor>
              </controlPr>
            </control>
          </mc:Choice>
        </mc:AlternateContent>
        <mc:AlternateContent xmlns:mc="http://schemas.openxmlformats.org/markup-compatibility/2006">
          <mc:Choice Requires="x14">
            <control shapeId="155663" r:id="rId18" name="Check Box 15">
              <controlPr defaultSize="0" autoFill="0" autoLine="0" autoPict="0">
                <anchor moveWithCells="1">
                  <from>
                    <xdr:col>2</xdr:col>
                    <xdr:colOff>99060</xdr:colOff>
                    <xdr:row>32</xdr:row>
                    <xdr:rowOff>182880</xdr:rowOff>
                  </from>
                  <to>
                    <xdr:col>4</xdr:col>
                    <xdr:colOff>274320</xdr:colOff>
                    <xdr:row>33</xdr:row>
                    <xdr:rowOff>182880</xdr:rowOff>
                  </to>
                </anchor>
              </controlPr>
            </control>
          </mc:Choice>
        </mc:AlternateContent>
        <mc:AlternateContent xmlns:mc="http://schemas.openxmlformats.org/markup-compatibility/2006">
          <mc:Choice Requires="x14">
            <control shapeId="155664" r:id="rId19" name="Check Box 16">
              <controlPr defaultSize="0" autoFill="0" autoLine="0" autoPict="0">
                <anchor moveWithCells="1">
                  <from>
                    <xdr:col>2</xdr:col>
                    <xdr:colOff>38100</xdr:colOff>
                    <xdr:row>36</xdr:row>
                    <xdr:rowOff>30480</xdr:rowOff>
                  </from>
                  <to>
                    <xdr:col>14</xdr:col>
                    <xdr:colOff>99060</xdr:colOff>
                    <xdr:row>36</xdr:row>
                    <xdr:rowOff>160020</xdr:rowOff>
                  </to>
                </anchor>
              </controlPr>
            </control>
          </mc:Choice>
        </mc:AlternateContent>
        <mc:AlternateContent xmlns:mc="http://schemas.openxmlformats.org/markup-compatibility/2006">
          <mc:Choice Requires="x14">
            <control shapeId="155665" r:id="rId20" name="Check Box 17">
              <controlPr defaultSize="0" autoFill="0" autoLine="0" autoPict="0">
                <anchor moveWithCells="1">
                  <from>
                    <xdr:col>2</xdr:col>
                    <xdr:colOff>45720</xdr:colOff>
                    <xdr:row>37</xdr:row>
                    <xdr:rowOff>30480</xdr:rowOff>
                  </from>
                  <to>
                    <xdr:col>14</xdr:col>
                    <xdr:colOff>480060</xdr:colOff>
                    <xdr:row>37</xdr:row>
                    <xdr:rowOff>190500</xdr:rowOff>
                  </to>
                </anchor>
              </controlPr>
            </control>
          </mc:Choice>
        </mc:AlternateContent>
        <mc:AlternateContent xmlns:mc="http://schemas.openxmlformats.org/markup-compatibility/2006">
          <mc:Choice Requires="x14">
            <control shapeId="155666" r:id="rId21" name="Check Box 18">
              <controlPr defaultSize="0" autoFill="0" autoLine="0" autoPict="0">
                <anchor moveWithCells="1">
                  <from>
                    <xdr:col>2</xdr:col>
                    <xdr:colOff>45720</xdr:colOff>
                    <xdr:row>38</xdr:row>
                    <xdr:rowOff>7620</xdr:rowOff>
                  </from>
                  <to>
                    <xdr:col>12</xdr:col>
                    <xdr:colOff>480060</xdr:colOff>
                    <xdr:row>39</xdr:row>
                    <xdr:rowOff>0</xdr:rowOff>
                  </to>
                </anchor>
              </controlPr>
            </control>
          </mc:Choice>
        </mc:AlternateContent>
        <mc:AlternateContent xmlns:mc="http://schemas.openxmlformats.org/markup-compatibility/2006">
          <mc:Choice Requires="x14">
            <control shapeId="155667" r:id="rId22" name="Check Box 19">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155668" r:id="rId23" name="Check Box 20">
              <controlPr defaultSize="0" autoFill="0" autoLine="0" autoPict="0">
                <anchor moveWithCells="1">
                  <from>
                    <xdr:col>2</xdr:col>
                    <xdr:colOff>99060</xdr:colOff>
                    <xdr:row>32</xdr:row>
                    <xdr:rowOff>0</xdr:rowOff>
                  </from>
                  <to>
                    <xdr:col>2</xdr:col>
                    <xdr:colOff>3108960</xdr:colOff>
                    <xdr:row>33</xdr:row>
                    <xdr:rowOff>7620</xdr:rowOff>
                  </to>
                </anchor>
              </controlPr>
            </control>
          </mc:Choice>
        </mc:AlternateContent>
        <mc:AlternateContent xmlns:mc="http://schemas.openxmlformats.org/markup-compatibility/2006">
          <mc:Choice Requires="x14">
            <control shapeId="155669" r:id="rId24" name="Check Box 21">
              <controlPr defaultSize="0" autoFill="0" autoLine="0" autoPict="0">
                <anchor moveWithCells="1">
                  <from>
                    <xdr:col>2</xdr:col>
                    <xdr:colOff>99060</xdr:colOff>
                    <xdr:row>34</xdr:row>
                    <xdr:rowOff>0</xdr:rowOff>
                  </from>
                  <to>
                    <xdr:col>3</xdr:col>
                    <xdr:colOff>609600</xdr:colOff>
                    <xdr:row>34</xdr:row>
                    <xdr:rowOff>160020</xdr:rowOff>
                  </to>
                </anchor>
              </controlPr>
            </control>
          </mc:Choice>
        </mc:AlternateContent>
        <mc:AlternateContent xmlns:mc="http://schemas.openxmlformats.org/markup-compatibility/2006">
          <mc:Choice Requires="x14">
            <control shapeId="155670" r:id="rId25" name="Check Box 22">
              <controlPr defaultSize="0" autoFill="0" autoLine="0" autoPict="0">
                <anchor moveWithCells="1">
                  <from>
                    <xdr:col>2</xdr:col>
                    <xdr:colOff>99060</xdr:colOff>
                    <xdr:row>32</xdr:row>
                    <xdr:rowOff>182880</xdr:rowOff>
                  </from>
                  <to>
                    <xdr:col>4</xdr:col>
                    <xdr:colOff>274320</xdr:colOff>
                    <xdr:row>33</xdr:row>
                    <xdr:rowOff>182880</xdr:rowOff>
                  </to>
                </anchor>
              </controlPr>
            </control>
          </mc:Choice>
        </mc:AlternateContent>
        <mc:AlternateContent xmlns:mc="http://schemas.openxmlformats.org/markup-compatibility/2006">
          <mc:Choice Requires="x14">
            <control shapeId="155671" r:id="rId26" name="Check Box 23">
              <controlPr defaultSize="0" autoFill="0" autoLine="0" autoPict="0">
                <anchor moveWithCells="1">
                  <from>
                    <xdr:col>2</xdr:col>
                    <xdr:colOff>45720</xdr:colOff>
                    <xdr:row>38</xdr:row>
                    <xdr:rowOff>7620</xdr:rowOff>
                  </from>
                  <to>
                    <xdr:col>12</xdr:col>
                    <xdr:colOff>480060</xdr:colOff>
                    <xdr:row>39</xdr:row>
                    <xdr:rowOff>0</xdr:rowOff>
                  </to>
                </anchor>
              </controlPr>
            </control>
          </mc:Choice>
        </mc:AlternateContent>
        <mc:AlternateContent xmlns:mc="http://schemas.openxmlformats.org/markup-compatibility/2006">
          <mc:Choice Requires="x14">
            <control shapeId="155672" r:id="rId27" name="Check Box 24">
              <controlPr defaultSize="0" autoFill="0" autoLine="0" autoPict="0">
                <anchor moveWithCells="1">
                  <from>
                    <xdr:col>1</xdr:col>
                    <xdr:colOff>0</xdr:colOff>
                    <xdr:row>11</xdr:row>
                    <xdr:rowOff>0</xdr:rowOff>
                  </from>
                  <to>
                    <xdr:col>1</xdr:col>
                    <xdr:colOff>2933700</xdr:colOff>
                    <xdr:row>12</xdr:row>
                    <xdr:rowOff>22860</xdr:rowOff>
                  </to>
                </anchor>
              </controlPr>
            </control>
          </mc:Choice>
        </mc:AlternateContent>
        <mc:AlternateContent xmlns:mc="http://schemas.openxmlformats.org/markup-compatibility/2006">
          <mc:Choice Requires="x14">
            <control shapeId="155673" r:id="rId28" name="Check Box 25">
              <controlPr defaultSize="0" autoFill="0" autoLine="0" autoPict="0">
                <anchor moveWithCells="1">
                  <from>
                    <xdr:col>2</xdr:col>
                    <xdr:colOff>99060</xdr:colOff>
                    <xdr:row>35</xdr:row>
                    <xdr:rowOff>0</xdr:rowOff>
                  </from>
                  <to>
                    <xdr:col>2</xdr:col>
                    <xdr:colOff>3108960</xdr:colOff>
                    <xdr:row>36</xdr:row>
                    <xdr:rowOff>7620</xdr:rowOff>
                  </to>
                </anchor>
              </controlPr>
            </control>
          </mc:Choice>
        </mc:AlternateContent>
        <mc:AlternateContent xmlns:mc="http://schemas.openxmlformats.org/markup-compatibility/2006">
          <mc:Choice Requires="x14">
            <control shapeId="155674" r:id="rId29" name="Check Box 26">
              <controlPr defaultSize="0" autoFill="0" autoLine="0" autoPict="0">
                <anchor moveWithCells="1">
                  <from>
                    <xdr:col>2</xdr:col>
                    <xdr:colOff>99060</xdr:colOff>
                    <xdr:row>37</xdr:row>
                    <xdr:rowOff>0</xdr:rowOff>
                  </from>
                  <to>
                    <xdr:col>3</xdr:col>
                    <xdr:colOff>617220</xdr:colOff>
                    <xdr:row>37</xdr:row>
                    <xdr:rowOff>160020</xdr:rowOff>
                  </to>
                </anchor>
              </controlPr>
            </control>
          </mc:Choice>
        </mc:AlternateContent>
        <mc:AlternateContent xmlns:mc="http://schemas.openxmlformats.org/markup-compatibility/2006">
          <mc:Choice Requires="x14">
            <control shapeId="155675" r:id="rId30" name="Check Box 27">
              <controlPr defaultSize="0" autoFill="0" autoLine="0" autoPict="0">
                <anchor moveWithCells="1">
                  <from>
                    <xdr:col>2</xdr:col>
                    <xdr:colOff>99060</xdr:colOff>
                    <xdr:row>35</xdr:row>
                    <xdr:rowOff>182880</xdr:rowOff>
                  </from>
                  <to>
                    <xdr:col>4</xdr:col>
                    <xdr:colOff>274320</xdr:colOff>
                    <xdr:row>37</xdr:row>
                    <xdr:rowOff>22860</xdr:rowOff>
                  </to>
                </anchor>
              </controlPr>
            </control>
          </mc:Choice>
        </mc:AlternateContent>
        <mc:AlternateContent xmlns:mc="http://schemas.openxmlformats.org/markup-compatibility/2006">
          <mc:Choice Requires="x14">
            <control shapeId="155676" r:id="rId31" name="Check Box 28">
              <controlPr defaultSize="0" autoFill="0" autoLine="0" autoPict="0">
                <anchor moveWithCells="1">
                  <from>
                    <xdr:col>2</xdr:col>
                    <xdr:colOff>38100</xdr:colOff>
                    <xdr:row>39</xdr:row>
                    <xdr:rowOff>30480</xdr:rowOff>
                  </from>
                  <to>
                    <xdr:col>14</xdr:col>
                    <xdr:colOff>68580</xdr:colOff>
                    <xdr:row>39</xdr:row>
                    <xdr:rowOff>160020</xdr:rowOff>
                  </to>
                </anchor>
              </controlPr>
            </control>
          </mc:Choice>
        </mc:AlternateContent>
        <mc:AlternateContent xmlns:mc="http://schemas.openxmlformats.org/markup-compatibility/2006">
          <mc:Choice Requires="x14">
            <control shapeId="155677" r:id="rId32" name="Check Box 29">
              <controlPr defaultSize="0" autoFill="0" autoLine="0" autoPict="0">
                <anchor moveWithCells="1">
                  <from>
                    <xdr:col>2</xdr:col>
                    <xdr:colOff>45720</xdr:colOff>
                    <xdr:row>40</xdr:row>
                    <xdr:rowOff>30480</xdr:rowOff>
                  </from>
                  <to>
                    <xdr:col>14</xdr:col>
                    <xdr:colOff>441960</xdr:colOff>
                    <xdr:row>41</xdr:row>
                    <xdr:rowOff>0</xdr:rowOff>
                  </to>
                </anchor>
              </controlPr>
            </control>
          </mc:Choice>
        </mc:AlternateContent>
        <mc:AlternateContent xmlns:mc="http://schemas.openxmlformats.org/markup-compatibility/2006">
          <mc:Choice Requires="x14">
            <control shapeId="155678" r:id="rId33" name="Check Box 30">
              <controlPr defaultSize="0" autoFill="0" autoLine="0" autoPict="0">
                <anchor moveWithCells="1">
                  <from>
                    <xdr:col>2</xdr:col>
                    <xdr:colOff>45720</xdr:colOff>
                    <xdr:row>41</xdr:row>
                    <xdr:rowOff>7620</xdr:rowOff>
                  </from>
                  <to>
                    <xdr:col>12</xdr:col>
                    <xdr:colOff>449580</xdr:colOff>
                    <xdr:row>42</xdr:row>
                    <xdr:rowOff>0</xdr:rowOff>
                  </to>
                </anchor>
              </controlPr>
            </control>
          </mc:Choice>
        </mc:AlternateContent>
        <mc:AlternateContent xmlns:mc="http://schemas.openxmlformats.org/markup-compatibility/2006">
          <mc:Choice Requires="x14">
            <control shapeId="155679" r:id="rId34" name="Check Box 31">
              <controlPr defaultSize="0" autoFill="0" autoLine="0" autoPict="0">
                <anchor moveWithCells="1">
                  <from>
                    <xdr:col>1</xdr:col>
                    <xdr:colOff>0</xdr:colOff>
                    <xdr:row>11</xdr:row>
                    <xdr:rowOff>0</xdr:rowOff>
                  </from>
                  <to>
                    <xdr:col>1</xdr:col>
                    <xdr:colOff>2933700</xdr:colOff>
                    <xdr:row>12</xdr:row>
                    <xdr:rowOff>7620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43</vt:i4>
      </vt:variant>
      <vt:variant>
        <vt:lpstr>Named Ranges</vt:lpstr>
      </vt:variant>
      <vt:variant>
        <vt:i4>2</vt:i4>
      </vt:variant>
    </vt:vector>
  </HeadingPairs>
  <TitlesOfParts>
    <vt:vector size="45" baseType="lpstr">
      <vt:lpstr>Հ1</vt:lpstr>
      <vt:lpstr>Հ2 Ձև1-IUCN</vt:lpstr>
      <vt:lpstr>Հ2 Ձև2-IUCN</vt:lpstr>
      <vt:lpstr>Հ2 Ձև1-geter</vt:lpstr>
      <vt:lpstr>Հ2 Ձև2-geter</vt:lpstr>
      <vt:lpstr>Հ2 Ձև1-anznagrer </vt:lpstr>
      <vt:lpstr>Հ2 Ձև2-anznagrer</vt:lpstr>
      <vt:lpstr>Հ2 Ձև1-hoxer-monitoring</vt:lpstr>
      <vt:lpstr>Հ2 Ձև2-hoxer-monitoring</vt:lpstr>
      <vt:lpstr>Հ2 Ձև1-laborator-zargacum</vt:lpstr>
      <vt:lpstr>Հ2 Ձև2-laborator-zargacum</vt:lpstr>
      <vt:lpstr>Հ2 Ձև1-zuyn-zyunahuys</vt:lpstr>
      <vt:lpstr>Հ2 Ձև2-zuyn-zyunahuys</vt:lpstr>
      <vt:lpstr>zuyn-zyunahuys-hashvarkner</vt:lpstr>
      <vt:lpstr>Հ2 Ձև1-makerevutayin-jrer</vt:lpstr>
      <vt:lpstr>Հ2 Ձև2-makerevutayin-jrer</vt:lpstr>
      <vt:lpstr>makerevutayin-jrer-hashvark</vt:lpstr>
      <vt:lpstr>Հ2 Ձև1-jarmocayin-gazer</vt:lpstr>
      <vt:lpstr>Հ2 Ձև2-jarmocayin-gazer</vt:lpstr>
      <vt:lpstr>Հ2 Ձև1-sndik-monitoring</vt:lpstr>
      <vt:lpstr>Հ2 Ձև2-sndik-monitoring</vt:lpstr>
      <vt:lpstr>Հ2 Ձև1-storerkrya-jrer</vt:lpstr>
      <vt:lpstr>Հ2 Ձև2-storerkrya-jrer</vt:lpstr>
      <vt:lpstr>Հ2 Ձև1-vaxoroq</vt:lpstr>
      <vt:lpstr>Հ2 Ձև2-vaxoroq</vt:lpstr>
      <vt:lpstr>Հ2 Ձև1-odi-monitoring</vt:lpstr>
      <vt:lpstr>Հ2 Ձև2-odi-monitoring</vt:lpstr>
      <vt:lpstr>Հ3 Մաս 1</vt:lpstr>
      <vt:lpstr>Հ3 Մաս 2</vt:lpstr>
      <vt:lpstr>Հ3 Մաս 3</vt:lpstr>
      <vt:lpstr>Հ4  </vt:lpstr>
      <vt:lpstr>Հ5</vt:lpstr>
      <vt:lpstr>Հ6</vt:lpstr>
      <vt:lpstr>Հ7 Ձև1-11009</vt:lpstr>
      <vt:lpstr>Հ7 Ձև1-11010</vt:lpstr>
      <vt:lpstr>Հ7 Ձև1-12002</vt:lpstr>
      <vt:lpstr>Հ7 Ձև2</vt:lpstr>
      <vt:lpstr>Հ7 Ձև3</vt:lpstr>
      <vt:lpstr>Հ8</vt:lpstr>
      <vt:lpstr>Հ9</vt:lpstr>
      <vt:lpstr>Հ10</vt:lpstr>
      <vt:lpstr>Հ11</vt:lpstr>
      <vt:lpstr>Լրացման պահանջներ</vt:lpstr>
      <vt:lpstr>'Հ3 Մաս 1'!_ftnref17</vt:lpstr>
      <vt:lpstr>'Հ3 Մաս 1'!_ftnref4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2026-07-20T07:43:33Z</dcterms:modified>
</cp:coreProperties>
</file>